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geriblake/Desktop/Standardization In Quantitative Imaging/"/>
    </mc:Choice>
  </mc:AlternateContent>
  <xr:revisionPtr revIDLastSave="0" documentId="8_{466B69E8-F8A4-0E40-8A53-F8A2351FE32F}" xr6:coauthVersionLast="36" xr6:coauthVersionMax="36" xr10:uidLastSave="{00000000-0000-0000-0000-000000000000}"/>
  <bookViews>
    <workbookView xWindow="0" yWindow="460" windowWidth="22020" windowHeight="16280" tabRatio="727" activeTab="2" xr2:uid="{00000000-000D-0000-FFFF-FFFF00000000}"/>
  </bookViews>
  <sheets>
    <sheet name="Overall Summary" sheetId="5" r:id="rId1"/>
    <sheet name="Summary by Case" sheetId="16" r:id="rId2"/>
    <sheet name="LIDC-0001 LIDC-RIDER 0314" sheetId="1" r:id="rId3"/>
    <sheet name="LIDC-0002 LIDC-RIDER 0325" sheetId="12" r:id="rId4"/>
    <sheet name="LIDC-0003 LIDC-RIDER 0580" sheetId="6" r:id="rId5"/>
    <sheet name="LIDC-0004 LIDC-RIDER 0766" sheetId="13" r:id="rId6"/>
    <sheet name="LIDC-0005 LIDC-RIDER 0771" sheetId="11" r:id="rId7"/>
    <sheet name="LIDC-0006 LIDC-RIDER 0811" sheetId="10" r:id="rId8"/>
    <sheet name="LIDC-0007 LIDC-RIDER 0905" sheetId="7" r:id="rId9"/>
    <sheet name="LIDC-0008 LIDC-RIDER 0963" sheetId="8" r:id="rId10"/>
    <sheet name="LIDC-0009 LIDC-RIDER 0965" sheetId="9" r:id="rId11"/>
    <sheet name="LIDC-0010 LIDC-RIDER 1012" sheetId="14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4" l="1"/>
  <c r="I13" i="14"/>
  <c r="I10" i="14"/>
  <c r="I6" i="14"/>
  <c r="I4" i="14"/>
  <c r="I3" i="14"/>
  <c r="I15" i="9"/>
  <c r="I13" i="9"/>
  <c r="I10" i="9"/>
  <c r="I6" i="9"/>
  <c r="I4" i="9"/>
  <c r="I3" i="9"/>
  <c r="I15" i="8"/>
  <c r="I13" i="8"/>
  <c r="I10" i="8"/>
  <c r="I6" i="8"/>
  <c r="I4" i="8"/>
  <c r="I3" i="8"/>
  <c r="I15" i="11"/>
  <c r="I13" i="11"/>
  <c r="I10" i="11"/>
  <c r="I6" i="11"/>
  <c r="I4" i="11"/>
  <c r="I3" i="11"/>
  <c r="I15" i="13"/>
  <c r="I13" i="13"/>
  <c r="I10" i="13"/>
  <c r="I6" i="13"/>
  <c r="I4" i="13"/>
  <c r="I3" i="13"/>
  <c r="I15" i="6"/>
  <c r="B17" i="1"/>
  <c r="C17" i="1"/>
  <c r="D17" i="1"/>
  <c r="E17" i="1"/>
  <c r="F17" i="1"/>
  <c r="G17" i="1"/>
  <c r="H17" i="1"/>
  <c r="I17" i="1"/>
  <c r="J17" i="1"/>
  <c r="J18" i="14" l="1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B18" i="14"/>
  <c r="B17" i="14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B18" i="9"/>
  <c r="B17" i="9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B18" i="8"/>
  <c r="B17" i="8"/>
  <c r="J18" i="7"/>
  <c r="I18" i="7"/>
  <c r="H18" i="7"/>
  <c r="G18" i="7"/>
  <c r="F18" i="7"/>
  <c r="E18" i="7"/>
  <c r="D18" i="7"/>
  <c r="C18" i="7"/>
  <c r="J17" i="7"/>
  <c r="I17" i="7"/>
  <c r="H17" i="7"/>
  <c r="G17" i="7"/>
  <c r="F17" i="7"/>
  <c r="E17" i="7"/>
  <c r="D17" i="7"/>
  <c r="C17" i="7"/>
  <c r="B18" i="7"/>
  <c r="B17" i="7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B17" i="10"/>
  <c r="B18" i="10"/>
  <c r="J18" i="11"/>
  <c r="I18" i="11"/>
  <c r="H18" i="11"/>
  <c r="G18" i="11"/>
  <c r="F18" i="11"/>
  <c r="E18" i="11"/>
  <c r="D18" i="11"/>
  <c r="C18" i="11"/>
  <c r="J17" i="11"/>
  <c r="I17" i="11"/>
  <c r="H17" i="11"/>
  <c r="G17" i="11"/>
  <c r="F17" i="11"/>
  <c r="E17" i="11"/>
  <c r="D17" i="11"/>
  <c r="C17" i="11"/>
  <c r="B18" i="11"/>
  <c r="B17" i="11"/>
  <c r="J18" i="13"/>
  <c r="I18" i="13"/>
  <c r="H18" i="13"/>
  <c r="G18" i="13"/>
  <c r="F18" i="13"/>
  <c r="E18" i="13"/>
  <c r="D18" i="13"/>
  <c r="C18" i="13"/>
  <c r="J17" i="13"/>
  <c r="I17" i="13"/>
  <c r="H17" i="13"/>
  <c r="G17" i="13"/>
  <c r="F17" i="13"/>
  <c r="E17" i="13"/>
  <c r="D17" i="13"/>
  <c r="C17" i="13"/>
  <c r="B18" i="13"/>
  <c r="B17" i="13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B18" i="6"/>
  <c r="B17" i="6"/>
  <c r="J18" i="12"/>
  <c r="I18" i="12"/>
  <c r="H18" i="12"/>
  <c r="G18" i="12"/>
  <c r="F18" i="12"/>
  <c r="E18" i="12"/>
  <c r="D18" i="12"/>
  <c r="C18" i="12"/>
  <c r="J17" i="12"/>
  <c r="I17" i="12"/>
  <c r="H17" i="12"/>
  <c r="G17" i="12"/>
  <c r="F17" i="12"/>
  <c r="E17" i="12"/>
  <c r="D17" i="12"/>
  <c r="C17" i="12"/>
  <c r="B18" i="12"/>
  <c r="B17" i="12"/>
  <c r="J18" i="1"/>
  <c r="I18" i="1"/>
  <c r="H18" i="1"/>
  <c r="G18" i="1"/>
  <c r="F18" i="1"/>
  <c r="E18" i="1"/>
  <c r="D18" i="1"/>
  <c r="C18" i="1"/>
  <c r="B18" i="1"/>
  <c r="B19" i="14" l="1"/>
  <c r="K3" i="16" s="1"/>
  <c r="C19" i="8"/>
  <c r="I4" i="16" s="1"/>
  <c r="E19" i="8"/>
  <c r="I6" i="16" s="1"/>
  <c r="F19" i="8"/>
  <c r="I7" i="16" s="1"/>
  <c r="G19" i="8"/>
  <c r="I8" i="16" s="1"/>
  <c r="I19" i="8"/>
  <c r="I10" i="16" s="1"/>
  <c r="B19" i="8"/>
  <c r="I3" i="16" s="1"/>
  <c r="D19" i="8"/>
  <c r="I5" i="16" s="1"/>
  <c r="H19" i="8"/>
  <c r="I9" i="16" s="1"/>
  <c r="B19" i="7"/>
  <c r="H3" i="16" s="1"/>
  <c r="B19" i="6"/>
  <c r="D3" i="16" s="1"/>
  <c r="B19" i="12"/>
  <c r="C3" i="16" s="1"/>
  <c r="B19" i="1"/>
  <c r="B3" i="16" s="1"/>
  <c r="E19" i="12" l="1"/>
  <c r="C6" i="16" s="1"/>
  <c r="G19" i="12"/>
  <c r="C8" i="16" s="1"/>
  <c r="C19" i="12"/>
  <c r="C4" i="16" s="1"/>
  <c r="H19" i="12"/>
  <c r="C9" i="16" s="1"/>
  <c r="I19" i="12" l="1"/>
  <c r="C10" i="16" s="1"/>
  <c r="D19" i="12"/>
  <c r="C5" i="16" s="1"/>
  <c r="J19" i="12"/>
  <c r="C11" i="16" s="1"/>
  <c r="B19" i="11"/>
  <c r="F3" i="16" s="1"/>
  <c r="F19" i="12"/>
  <c r="C7" i="16" s="1"/>
  <c r="J19" i="9" l="1"/>
  <c r="J11" i="16" s="1"/>
  <c r="J19" i="8"/>
  <c r="I11" i="16" s="1"/>
  <c r="J19" i="7"/>
  <c r="H11" i="16" s="1"/>
  <c r="J19" i="10"/>
  <c r="G11" i="16" s="1"/>
  <c r="J19" i="11"/>
  <c r="F11" i="16" s="1"/>
  <c r="J19" i="6"/>
  <c r="D11" i="16" s="1"/>
  <c r="G19" i="11"/>
  <c r="F8" i="16" s="1"/>
  <c r="C19" i="11"/>
  <c r="F4" i="16" s="1"/>
  <c r="I19" i="9"/>
  <c r="J10" i="16" s="1"/>
  <c r="E19" i="9"/>
  <c r="J6" i="16" s="1"/>
  <c r="E19" i="6"/>
  <c r="D6" i="16" s="1"/>
  <c r="D19" i="9"/>
  <c r="J5" i="16" s="1"/>
  <c r="H19" i="9"/>
  <c r="J9" i="16" s="1"/>
  <c r="B19" i="9"/>
  <c r="J3" i="16" s="1"/>
  <c r="F19" i="9"/>
  <c r="J7" i="16" s="1"/>
  <c r="C19" i="9"/>
  <c r="J4" i="16" s="1"/>
  <c r="G19" i="9"/>
  <c r="J8" i="16" s="1"/>
  <c r="E19" i="7"/>
  <c r="H6" i="16" s="1"/>
  <c r="I19" i="7"/>
  <c r="H10" i="16" s="1"/>
  <c r="D19" i="7"/>
  <c r="H5" i="16" s="1"/>
  <c r="H19" i="7"/>
  <c r="H9" i="16" s="1"/>
  <c r="F19" i="7"/>
  <c r="H7" i="16" s="1"/>
  <c r="C19" i="7"/>
  <c r="H4" i="16" s="1"/>
  <c r="G19" i="7"/>
  <c r="H8" i="16" s="1"/>
  <c r="E19" i="10"/>
  <c r="G6" i="16" s="1"/>
  <c r="I19" i="10"/>
  <c r="G10" i="16" s="1"/>
  <c r="D19" i="10"/>
  <c r="G5" i="16" s="1"/>
  <c r="H19" i="10"/>
  <c r="G9" i="16" s="1"/>
  <c r="B19" i="10"/>
  <c r="G3" i="16" s="1"/>
  <c r="F19" i="10"/>
  <c r="G7" i="16" s="1"/>
  <c r="C19" i="10"/>
  <c r="G4" i="16" s="1"/>
  <c r="G19" i="10"/>
  <c r="G8" i="16" s="1"/>
  <c r="E19" i="11"/>
  <c r="F6" i="16" s="1"/>
  <c r="I19" i="11"/>
  <c r="F10" i="16" s="1"/>
  <c r="D19" i="11"/>
  <c r="F5" i="16" s="1"/>
  <c r="H19" i="11"/>
  <c r="F9" i="16" s="1"/>
  <c r="F19" i="11"/>
  <c r="F7" i="16" s="1"/>
  <c r="E19" i="13"/>
  <c r="E6" i="16" s="1"/>
  <c r="I19" i="13"/>
  <c r="E10" i="16" s="1"/>
  <c r="D19" i="13"/>
  <c r="E5" i="16" s="1"/>
  <c r="H19" i="13"/>
  <c r="E9" i="16" s="1"/>
  <c r="B19" i="13"/>
  <c r="E3" i="16" s="1"/>
  <c r="F19" i="13"/>
  <c r="E7" i="16" s="1"/>
  <c r="J19" i="13"/>
  <c r="E11" i="16" s="1"/>
  <c r="C19" i="13"/>
  <c r="E4" i="16" s="1"/>
  <c r="G19" i="13"/>
  <c r="E8" i="16" s="1"/>
  <c r="I19" i="6"/>
  <c r="D10" i="16" s="1"/>
  <c r="D19" i="6"/>
  <c r="D5" i="16" s="1"/>
  <c r="H19" i="6"/>
  <c r="D9" i="16" s="1"/>
  <c r="F19" i="6"/>
  <c r="D7" i="16" s="1"/>
  <c r="C19" i="6"/>
  <c r="D4" i="16" s="1"/>
  <c r="G19" i="6"/>
  <c r="D8" i="16" s="1"/>
  <c r="D19" i="14"/>
  <c r="K5" i="16" s="1"/>
  <c r="H19" i="14"/>
  <c r="K9" i="16" s="1"/>
  <c r="F19" i="14"/>
  <c r="K7" i="16" s="1"/>
  <c r="J19" i="14"/>
  <c r="K11" i="16" s="1"/>
  <c r="E19" i="14"/>
  <c r="K6" i="16" s="1"/>
  <c r="I19" i="14"/>
  <c r="K10" i="16" s="1"/>
  <c r="C19" i="14"/>
  <c r="K4" i="16" s="1"/>
  <c r="G19" i="14"/>
  <c r="K8" i="16" s="1"/>
  <c r="D19" i="1"/>
  <c r="B5" i="16" s="1"/>
  <c r="H19" i="1"/>
  <c r="B9" i="16" s="1"/>
  <c r="F19" i="1"/>
  <c r="B7" i="16" s="1"/>
  <c r="I19" i="1"/>
  <c r="B10" i="16" s="1"/>
  <c r="G19" i="1"/>
  <c r="B8" i="16" s="1"/>
  <c r="E19" i="1"/>
  <c r="B6" i="16" s="1"/>
  <c r="C19" i="1"/>
  <c r="B4" i="16" s="1"/>
  <c r="L3" i="16" l="1"/>
  <c r="B3" i="5" s="1"/>
  <c r="M3" i="16"/>
  <c r="B4" i="5" s="1"/>
  <c r="M7" i="16"/>
  <c r="F4" i="5" s="1"/>
  <c r="L7" i="16"/>
  <c r="F3" i="5" s="1"/>
  <c r="L4" i="16"/>
  <c r="C3" i="5" s="1"/>
  <c r="M4" i="16"/>
  <c r="C4" i="5" s="1"/>
  <c r="M6" i="16"/>
  <c r="E4" i="5" s="1"/>
  <c r="L6" i="16"/>
  <c r="E3" i="5" s="1"/>
  <c r="L9" i="16"/>
  <c r="H3" i="5" s="1"/>
  <c r="M9" i="16"/>
  <c r="H4" i="5" s="1"/>
  <c r="L8" i="16"/>
  <c r="G3" i="5" s="1"/>
  <c r="M8" i="16"/>
  <c r="G4" i="5" s="1"/>
  <c r="M5" i="16"/>
  <c r="D4" i="5" s="1"/>
  <c r="L5" i="16"/>
  <c r="D3" i="5" s="1"/>
  <c r="J19" i="1"/>
  <c r="B11" i="16" l="1"/>
  <c r="L11" i="16" l="1"/>
  <c r="J3" i="5" s="1"/>
  <c r="M11" i="16"/>
  <c r="J4" i="5" s="1"/>
  <c r="M10" i="16"/>
  <c r="I4" i="5" s="1"/>
  <c r="L10" i="16"/>
  <c r="I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2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6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200-000007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0" authorId="0" shapeId="0" xr:uid="{00000000-0006-0000-0200-000009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C11" authorId="0" shapeId="0" xr:uid="{00000000-0006-0000-0200-00000A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200-00000D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2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B00-000001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I4" authorId="0" shapeId="0" xr:uid="{00000000-0006-0000-0B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B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B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6" authorId="0" shapeId="0" xr:uid="{00000000-0006-0000-0B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B00-000006000000}">
      <text>
        <r>
          <rPr>
            <sz val="9"/>
            <color indexed="81"/>
            <rFont val="Tahoma"/>
            <family val="2"/>
          </rPr>
          <t>Appear to have used longest 3D diameter here as well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B00-000007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B00-000008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0" authorId="0" shapeId="0" xr:uid="{00000000-0006-0000-0B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B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B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B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B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B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B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5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6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0" authorId="0" shapeId="0" xr:uid="{00000000-0006-0000-03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  <comment ref="I10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300-00000F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4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6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0" authorId="0" shapeId="0" xr:uid="{00000000-0006-0000-04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500-000002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C5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5" authorId="0" shapeId="0" xr:uid="{00000000-0006-0000-0500-000004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0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0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5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5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5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5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600-000001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I4" authorId="0" shapeId="0" xr:uid="{00000000-0006-0000-0600-000002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C5" authorId="0" shapeId="0" xr:uid="{00000000-0006-0000-06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600-000004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600-000007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6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6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6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6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6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6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6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700-000001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I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5" authorId="0" shapeId="0" xr:uid="{00000000-0006-0000-0700-000004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700-000007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0" authorId="0" shapeId="0" xr:uid="{00000000-0006-0000-07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7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7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700-00000B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3" authorId="0" shapeId="0" xr:uid="{00000000-0006-0000-07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7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7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7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8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800-000004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  <comment ref="I6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800-000006000000}">
      <text>
        <r>
          <rPr>
            <sz val="9"/>
            <color indexed="81"/>
            <rFont val="Tahoma"/>
            <family val="2"/>
          </rPr>
          <t>Appear to have used longest 3D diameter here as well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800-000007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800-000008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0" authorId="0" shapeId="0" xr:uid="{00000000-0006-0000-08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8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8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8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8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8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8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900-000001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I4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5" authorId="0" shapeId="0" xr:uid="{00000000-0006-0000-0900-000003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9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6" authorId="0" shapeId="0" xr:uid="{00000000-0006-0000-0900-000005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D9" authorId="0" shapeId="0" xr:uid="{00000000-0006-0000-0900-000006000000}">
      <text>
        <r>
          <rPr>
            <sz val="9"/>
            <color indexed="81"/>
            <rFont val="Tahoma"/>
            <family val="2"/>
          </rPr>
          <t>Appear to have used longest 3D diameter here as well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900-000007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0" authorId="0" shapeId="0" xr:uid="{00000000-0006-0000-0900-000008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0" authorId="0" shapeId="0" xr:uid="{00000000-0006-0000-09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900-00000A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1" authorId="0" shapeId="0" xr:uid="{00000000-0006-0000-09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9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9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9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9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3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4" authorId="0" shapeId="0" xr:uid="{00000000-0006-0000-0A00-000002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C5" authorId="0" shapeId="0" xr:uid="{00000000-0006-0000-0A00-000003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5" authorId="0" shapeId="0" xr:uid="{00000000-0006-0000-0A00-000004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  <comment ref="I6" authorId="0" shapeId="0" xr:uid="{00000000-0006-0000-0A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D9" authorId="0" shapeId="0" xr:uid="{00000000-0006-0000-0A00-000006000000}">
      <text>
        <r>
          <rPr>
            <sz val="9"/>
            <color indexed="81"/>
            <rFont val="Tahoma"/>
            <family val="2"/>
          </rPr>
          <t xml:space="preserve">Appear to have used longest 3D diameter here as well
</t>
        </r>
      </text>
    </comment>
    <comment ref="C10" authorId="0" shapeId="0" xr:uid="{00000000-0006-0000-0A00-000007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A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  <comment ref="I10" authorId="0" shapeId="0" xr:uid="{00000000-0006-0000-0A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1" authorId="0" shapeId="0" xr:uid="{00000000-0006-0000-0A00-00000A000000}">
      <text>
        <r>
          <rPr>
            <sz val="9"/>
            <color indexed="81"/>
            <rFont val="Tahoma"/>
            <family val="2"/>
          </rPr>
          <t>Did not calculate Surface Area using mesh based method described in IBSI section 3.1.3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A00-00000B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3" authorId="0" shapeId="0" xr:uid="{00000000-0006-0000-0A00-00000C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15" authorId="0" shapeId="0" xr:uid="{00000000-0006-0000-0A00-00000D000000}">
      <text>
        <r>
          <rPr>
            <sz val="9"/>
            <color indexed="81"/>
            <rFont val="Tahoma"/>
            <family val="2"/>
          </rPr>
          <t xml:space="preserve">Did not calculate Surface Area using mesh based method described in IBSI section 3.1.3
</t>
        </r>
      </text>
    </comment>
    <comment ref="F15" authorId="0" shapeId="0" xr:uid="{00000000-0006-0000-0A00-00000E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15" authorId="0" shapeId="0" xr:uid="{00000000-0006-0000-0A00-00000F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sharedStrings.xml><?xml version="1.0" encoding="utf-8"?>
<sst xmlns="http://schemas.openxmlformats.org/spreadsheetml/2006/main" count="524" uniqueCount="65">
  <si>
    <t>Institution/Source of Values</t>
  </si>
  <si>
    <t>Volume</t>
  </si>
  <si>
    <t>Surface Area</t>
  </si>
  <si>
    <t>2D Longest Diameter</t>
  </si>
  <si>
    <t>3D Longest Diameter</t>
  </si>
  <si>
    <t>Sphericity</t>
  </si>
  <si>
    <t>Intensity Mean</t>
  </si>
  <si>
    <t>Intensity Stdev</t>
  </si>
  <si>
    <t>Intensity Kurtosis</t>
  </si>
  <si>
    <t>GLCM Entropy</t>
  </si>
  <si>
    <t>Stanford/QIFE</t>
  </si>
  <si>
    <t>Stanford/Pyradiomics</t>
  </si>
  <si>
    <t>mm</t>
  </si>
  <si>
    <t>dimensionless</t>
  </si>
  <si>
    <t>HU for CT</t>
  </si>
  <si>
    <t>mean</t>
  </si>
  <si>
    <t>std</t>
  </si>
  <si>
    <t>Feature</t>
  </si>
  <si>
    <t>Approx. Volume</t>
  </si>
  <si>
    <t>2-D Diameter</t>
  </si>
  <si>
    <t>3-D Diameter</t>
  </si>
  <si>
    <t>Mean Intensity</t>
  </si>
  <si>
    <t>Standard Deviation</t>
  </si>
  <si>
    <t>Kurtosis (w/Fisher correction)</t>
  </si>
  <si>
    <t>Percent CV</t>
  </si>
  <si>
    <t>LIDC-IDRI-0314</t>
  </si>
  <si>
    <t>LIDC-IDRI-0325</t>
  </si>
  <si>
    <t>LIDC-IDRI-0580</t>
  </si>
  <si>
    <t>LIDC-IDRI-0766</t>
  </si>
  <si>
    <t>LIDC-IDRI-0771</t>
  </si>
  <si>
    <t>LIDC-IDRI-0811</t>
  </si>
  <si>
    <t>LIDC-IDRI-0905</t>
  </si>
  <si>
    <t>LIDC-IDRI-0963</t>
  </si>
  <si>
    <t>LIDC-IDRI-0965</t>
  </si>
  <si>
    <t>LIDC-IDRI-1012</t>
  </si>
  <si>
    <t>LIDC-0001</t>
  </si>
  <si>
    <t>LIDC-0002</t>
  </si>
  <si>
    <t>LIDC-0008</t>
  </si>
  <si>
    <t>LIDC-0006</t>
  </si>
  <si>
    <t>LIDC-0007</t>
  </si>
  <si>
    <t>LIDC-0003</t>
  </si>
  <si>
    <t>LIDC-0004</t>
  </si>
  <si>
    <t>LIDC-0005</t>
  </si>
  <si>
    <t>LIDC-0009</t>
  </si>
  <si>
    <t>LIDC-0010</t>
  </si>
  <si>
    <t xml:space="preserve">MEAN </t>
  </si>
  <si>
    <t>STDDEV</t>
  </si>
  <si>
    <t>mean CV</t>
  </si>
  <si>
    <t>std CV</t>
  </si>
  <si>
    <t>Table 3 Mean and Standard Deviation of the  Coefficient of Variation Values for Patient Datasets</t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</si>
  <si>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</si>
  <si>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</si>
  <si>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Not submitted</t>
  </si>
  <si>
    <t>stdev</t>
  </si>
  <si>
    <t>University of South Florida</t>
  </si>
  <si>
    <t>UCSF (Pyradiomics)</t>
  </si>
  <si>
    <t>University of Washington - 1</t>
  </si>
  <si>
    <t>UCLA/QIA</t>
  </si>
  <si>
    <t>Moffitt Cancer Center</t>
  </si>
  <si>
    <t>Columbia University Medical Center</t>
  </si>
  <si>
    <t>University of Washington - 2</t>
  </si>
  <si>
    <t>University of Michigan</t>
  </si>
  <si>
    <t>UCLA/Pyradiomics</t>
  </si>
  <si>
    <t>British Columbia Cancer Research Center</t>
  </si>
  <si>
    <t>University of Pennsylvania CBICA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</si>
</sst>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%"/>
    <numFmt numFmtId="166" formatCode="0.000"/>
    <numFmt numFmtId="167" formatCode="0.0"/>
    <numFmt numFmtId="168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2" fillId="0" borderId="0" xfId="0" applyFont="1" applyAlignment="1"/>
    <xf numFmtId="164" fontId="0" fillId="0" borderId="0" xfId="1" applyNumberFormat="1" applyFont="1"/>
    <xf numFmtId="10" fontId="0" fillId="0" borderId="0" xfId="1" applyNumberFormat="1" applyFont="1"/>
    <xf numFmtId="165" fontId="0" fillId="0" borderId="0" xfId="1" applyNumberFormat="1" applyFo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165" fontId="0" fillId="0" borderId="0" xfId="0" applyNumberFormat="1" applyFill="1"/>
    <xf numFmtId="10" fontId="0" fillId="0" borderId="0" xfId="1" applyNumberFormat="1" applyFont="1" applyFill="1"/>
    <xf numFmtId="165" fontId="0" fillId="0" borderId="0" xfId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0" fillId="0" borderId="0" xfId="1" applyNumberFormat="1" applyFont="1" applyFill="1" applyAlignment="1">
      <alignment horizontal="right"/>
    </xf>
    <xf numFmtId="0" fontId="0" fillId="0" borderId="0" xfId="0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ont="1"/>
    <xf numFmtId="0" fontId="7" fillId="0" borderId="0" xfId="0" applyFont="1" applyFill="1" applyBorder="1" applyAlignment="1">
      <alignment wrapText="1"/>
    </xf>
    <xf numFmtId="166" fontId="0" fillId="0" borderId="0" xfId="0" applyNumberFormat="1" applyFont="1" applyFill="1" applyAlignment="1"/>
    <xf numFmtId="166" fontId="0" fillId="0" borderId="0" xfId="0" applyNumberFormat="1" applyFont="1" applyFill="1" applyBorder="1" applyAlignment="1"/>
    <xf numFmtId="166" fontId="0" fillId="0" borderId="0" xfId="2" applyNumberFormat="1" applyFont="1" applyFill="1" applyAlignment="1"/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2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2" fontId="0" fillId="0" borderId="0" xfId="0" applyNumberFormat="1" applyFont="1"/>
    <xf numFmtId="0" fontId="0" fillId="0" borderId="0" xfId="0" applyFont="1" applyFill="1"/>
    <xf numFmtId="0" fontId="6" fillId="0" borderId="0" xfId="0" applyFont="1" applyFill="1" applyAlignment="1">
      <alignment vertical="center" wrapText="1"/>
    </xf>
    <xf numFmtId="166" fontId="0" fillId="0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7" fontId="0" fillId="0" borderId="0" xfId="0" applyNumberFormat="1" applyFont="1"/>
    <xf numFmtId="166" fontId="0" fillId="0" borderId="0" xfId="0" applyNumberFormat="1" applyFont="1"/>
    <xf numFmtId="0" fontId="6" fillId="0" borderId="0" xfId="0" applyFont="1" applyFill="1" applyBorder="1" applyAlignment="1">
      <alignment vertical="center" wrapText="1"/>
    </xf>
    <xf numFmtId="10" fontId="0" fillId="0" borderId="0" xfId="0" applyNumberFormat="1" applyFill="1"/>
    <xf numFmtId="10" fontId="0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66" fontId="10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166" fontId="7" fillId="0" borderId="0" xfId="0" applyNumberFormat="1" applyFont="1" applyFill="1"/>
    <xf numFmtId="166" fontId="7" fillId="0" borderId="0" xfId="0" applyNumberFormat="1" applyFont="1" applyFill="1" applyAlignment="1"/>
    <xf numFmtId="167" fontId="7" fillId="0" borderId="0" xfId="0" applyNumberFormat="1" applyFont="1" applyFill="1" applyBorder="1" applyAlignment="1"/>
    <xf numFmtId="167" fontId="7" fillId="0" borderId="0" xfId="0" applyNumberFormat="1" applyFont="1" applyFill="1"/>
    <xf numFmtId="167" fontId="7" fillId="0" borderId="0" xfId="0" applyNumberFormat="1" applyFont="1" applyFill="1" applyAlignment="1"/>
    <xf numFmtId="2" fontId="7" fillId="0" borderId="0" xfId="0" applyNumberFormat="1" applyFont="1" applyFill="1" applyBorder="1" applyAlignment="1"/>
    <xf numFmtId="2" fontId="7" fillId="0" borderId="0" xfId="0" applyNumberFormat="1" applyFont="1" applyFill="1" applyAlignment="1"/>
    <xf numFmtId="2" fontId="7" fillId="0" borderId="0" xfId="0" applyNumberFormat="1" applyFont="1" applyFill="1"/>
    <xf numFmtId="167" fontId="2" fillId="0" borderId="0" xfId="0" applyNumberFormat="1" applyFont="1" applyFill="1" applyAlignment="1">
      <alignment vertical="center" wrapText="1"/>
    </xf>
    <xf numFmtId="167" fontId="7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167" fontId="10" fillId="0" borderId="0" xfId="1" applyNumberFormat="1" applyFont="1" applyFill="1" applyBorder="1" applyAlignment="1"/>
    <xf numFmtId="167" fontId="7" fillId="0" borderId="0" xfId="1" applyNumberFormat="1" applyFont="1" applyFill="1" applyBorder="1" applyAlignment="1"/>
    <xf numFmtId="167" fontId="7" fillId="0" borderId="0" xfId="0" applyNumberFormat="1" applyFont="1" applyFill="1" applyBorder="1" applyAlignment="1">
      <alignment horizontal="right"/>
    </xf>
    <xf numFmtId="167" fontId="7" fillId="0" borderId="0" xfId="2" applyNumberFormat="1" applyFont="1" applyFill="1" applyAlignment="1"/>
    <xf numFmtId="166" fontId="7" fillId="0" borderId="0" xfId="2" applyNumberFormat="1" applyFont="1" applyFill="1" applyAlignment="1"/>
    <xf numFmtId="2" fontId="7" fillId="0" borderId="0" xfId="2" applyNumberFormat="1" applyFont="1" applyFill="1" applyAlignment="1"/>
    <xf numFmtId="1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Alignment="1"/>
    <xf numFmtId="2" fontId="0" fillId="0" borderId="0" xfId="2" applyNumberFormat="1" applyFont="1" applyFill="1" applyAlignment="1"/>
    <xf numFmtId="167" fontId="0" fillId="0" borderId="0" xfId="0" applyNumberFormat="1" applyFont="1" applyFill="1" applyBorder="1" applyAlignment="1"/>
    <xf numFmtId="167" fontId="0" fillId="0" borderId="0" xfId="0" applyNumberFormat="1" applyFont="1" applyFill="1" applyAlignment="1"/>
    <xf numFmtId="167" fontId="0" fillId="0" borderId="0" xfId="2" applyNumberFormat="1" applyFont="1" applyFill="1" applyAlignment="1"/>
    <xf numFmtId="2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Border="1"/>
    <xf numFmtId="168" fontId="0" fillId="0" borderId="0" xfId="0" applyNumberFormat="1"/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 wrapText="1"/>
    </xf>
    <xf numFmtId="167" fontId="0" fillId="0" borderId="0" xfId="2" applyNumberFormat="1" applyFont="1" applyFill="1" applyAlignment="1">
      <alignment horizontal="right"/>
    </xf>
    <xf numFmtId="2" fontId="0" fillId="0" borderId="0" xfId="2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7" fontId="0" fillId="0" borderId="0" xfId="0" applyNumberFormat="1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7"/>
  <sheetViews>
    <sheetView workbookViewId="0"/>
  </sheetViews>
  <sheetFormatPr baseColWidth="10" defaultColWidth="8.83203125" defaultRowHeight="15" x14ac:dyDescent="0.2"/>
  <cols>
    <col min="1" max="1" width="12.6640625" style="11" bestFit="1" customWidth="1"/>
    <col min="2" max="2" width="17" style="11" customWidth="1"/>
    <col min="3" max="3" width="15.83203125" style="11" bestFit="1" customWidth="1"/>
    <col min="4" max="4" width="17.1640625" style="11" customWidth="1"/>
    <col min="5" max="6" width="12.6640625" style="11" bestFit="1" customWidth="1"/>
    <col min="7" max="7" width="12.83203125" customWidth="1"/>
    <col min="8" max="8" width="17.5" customWidth="1"/>
    <col min="9" max="9" width="16.83203125" customWidth="1"/>
    <col min="10" max="10" width="13" customWidth="1"/>
  </cols>
  <sheetData>
    <row r="1" spans="1:10" x14ac:dyDescent="0.2">
      <c r="A1" s="45" t="s">
        <v>49</v>
      </c>
    </row>
    <row r="2" spans="1:10" ht="32" x14ac:dyDescent="0.2">
      <c r="B2" s="7" t="s">
        <v>18</v>
      </c>
      <c r="C2" s="7" t="s">
        <v>2</v>
      </c>
      <c r="D2" s="7" t="s">
        <v>19</v>
      </c>
      <c r="E2" s="7" t="s">
        <v>20</v>
      </c>
      <c r="F2" s="7" t="s">
        <v>5</v>
      </c>
      <c r="G2" s="7" t="s">
        <v>21</v>
      </c>
      <c r="H2" s="7" t="s">
        <v>22</v>
      </c>
      <c r="I2" s="21" t="s">
        <v>23</v>
      </c>
      <c r="J2" s="7" t="s">
        <v>9</v>
      </c>
    </row>
    <row r="3" spans="1:10" x14ac:dyDescent="0.2">
      <c r="A3" s="11" t="s">
        <v>47</v>
      </c>
      <c r="B3" s="42">
        <f>'Summary by Case'!L3</f>
        <v>2.0997046902035774E-6</v>
      </c>
      <c r="C3" s="42">
        <f>'Summary by Case'!L4</f>
        <v>0.17061062115294534</v>
      </c>
      <c r="D3" s="42">
        <f>'Summary by Case'!L5</f>
        <v>8.440513338670172E-2</v>
      </c>
      <c r="E3" s="42">
        <f>'Summary by Case'!L6</f>
        <v>3.2688091702071362E-2</v>
      </c>
      <c r="F3" s="42">
        <f>'Summary by Case'!L7</f>
        <v>0.16895208950186874</v>
      </c>
      <c r="G3" s="42">
        <f>'Summary by Case'!L8</f>
        <v>-3.6625172021420519E-7</v>
      </c>
      <c r="H3" s="42">
        <f>'Summary by Case'!L9</f>
        <v>7.0030248913290343E-4</v>
      </c>
      <c r="I3" s="42">
        <f>'Summary by Case'!L10</f>
        <v>-4.3905201994821723E-3</v>
      </c>
      <c r="J3" s="42">
        <f>'Summary by Case'!L11</f>
        <v>0.36240294556446528</v>
      </c>
    </row>
    <row r="4" spans="1:10" x14ac:dyDescent="0.2">
      <c r="A4" s="11" t="s">
        <v>48</v>
      </c>
      <c r="B4" s="14">
        <f>'Summary by Case'!M3</f>
        <v>2.6802880686510858E-6</v>
      </c>
      <c r="C4" s="14">
        <f>'Summary by Case'!M4</f>
        <v>2.4878156851057327E-2</v>
      </c>
      <c r="D4" s="14">
        <f>'Summary by Case'!M5</f>
        <v>5.1891027665247419E-2</v>
      </c>
      <c r="E4" s="14">
        <f>'Summary by Case'!M6</f>
        <v>2.2529633359825666E-2</v>
      </c>
      <c r="F4" s="14">
        <f>'Summary by Case'!M7</f>
        <v>3.568337139782185E-2</v>
      </c>
      <c r="G4" s="14">
        <f>'Summary by Case'!M8</f>
        <v>4.4360094846499787E-7</v>
      </c>
      <c r="H4" s="14">
        <f>'Summary by Case'!M9</f>
        <v>9.163328307338842E-4</v>
      </c>
      <c r="I4" s="14">
        <f>'Summary by Case'!M10</f>
        <v>7.3710629886997239E-3</v>
      </c>
      <c r="J4" s="14">
        <f>'Summary by Case'!M11</f>
        <v>4.6640640844747838E-2</v>
      </c>
    </row>
    <row r="7" spans="1:10" x14ac:dyDescent="0.2">
      <c r="A7" s="15"/>
      <c r="B7" s="15"/>
      <c r="C7" s="15"/>
      <c r="D7" s="15"/>
      <c r="E7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XFC22"/>
  <sheetViews>
    <sheetView zoomScale="90" zoomScaleNormal="90" workbookViewId="0">
      <selection activeCell="D20" sqref="D20"/>
    </sheetView>
  </sheetViews>
  <sheetFormatPr baseColWidth="10" defaultColWidth="8.83203125" defaultRowHeight="15" x14ac:dyDescent="0.2"/>
  <cols>
    <col min="1" max="1" width="33.5" customWidth="1"/>
    <col min="2" max="2" width="13.5" customWidth="1"/>
    <col min="3" max="3" width="14.5" customWidth="1"/>
    <col min="4" max="4" width="17.83203125" customWidth="1"/>
    <col min="5" max="5" width="18.6640625" customWidth="1"/>
    <col min="6" max="6" width="15.1640625" customWidth="1"/>
    <col min="7" max="7" width="15.6640625" customWidth="1"/>
    <col min="8" max="8" width="15.5" customWidth="1"/>
    <col min="9" max="9" width="16.5" customWidth="1"/>
    <col min="10" max="10" width="16.6640625" customWidth="1"/>
  </cols>
  <sheetData>
    <row r="1" spans="1:16383" ht="16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6383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6383" s="18" customFormat="1" x14ac:dyDescent="0.2">
      <c r="A3" s="23" t="s">
        <v>10</v>
      </c>
      <c r="B3" s="76">
        <v>26.119599999999998</v>
      </c>
      <c r="C3" s="76">
        <v>46.795999999999999</v>
      </c>
      <c r="D3" s="76">
        <v>4.0616000000000003</v>
      </c>
      <c r="E3" s="76">
        <v>4.1093999999999999</v>
      </c>
      <c r="F3" s="26">
        <v>0.90973999999999999</v>
      </c>
      <c r="G3" s="73">
        <v>-239.7193</v>
      </c>
      <c r="H3" s="73">
        <v>175.01859999999999</v>
      </c>
      <c r="I3" s="73">
        <f>1.9893-3</f>
        <v>-1.0106999999999999</v>
      </c>
      <c r="J3" s="73">
        <v>2.0926999999999998</v>
      </c>
    </row>
    <row r="4" spans="1:16383" s="18" customFormat="1" x14ac:dyDescent="0.2">
      <c r="A4" s="23" t="s">
        <v>11</v>
      </c>
      <c r="B4" s="76">
        <v>26.119730579999999</v>
      </c>
      <c r="C4" s="76">
        <v>47.012784170000003</v>
      </c>
      <c r="D4" s="76">
        <v>4.6111145269999998</v>
      </c>
      <c r="E4" s="76">
        <v>4.6532786479999997</v>
      </c>
      <c r="F4" s="26">
        <v>0.87214541099999998</v>
      </c>
      <c r="G4" s="73">
        <v>-239.7192982</v>
      </c>
      <c r="H4" s="73">
        <v>174.24924217912684</v>
      </c>
      <c r="I4" s="73">
        <f>1.989267777-3</f>
        <v>-1.010732223</v>
      </c>
      <c r="J4" s="73">
        <v>6.8857734519999996</v>
      </c>
    </row>
    <row r="5" spans="1:16383" s="18" customFormat="1" x14ac:dyDescent="0.2">
      <c r="A5" s="23" t="s">
        <v>54</v>
      </c>
      <c r="B5" s="76">
        <v>26.119700000000002</v>
      </c>
      <c r="C5" s="76">
        <v>67.382099999999994</v>
      </c>
      <c r="D5" s="76">
        <v>4.0616000000000003</v>
      </c>
      <c r="E5" s="76">
        <v>4.4721000000000002</v>
      </c>
      <c r="F5" s="26">
        <v>0.63180999999999998</v>
      </c>
      <c r="G5" s="73">
        <v>-239.7193</v>
      </c>
      <c r="H5" s="73">
        <v>174.2492</v>
      </c>
      <c r="I5" s="73">
        <v>-1.0106999999999999</v>
      </c>
      <c r="J5" s="73">
        <v>8.9373000000000005</v>
      </c>
    </row>
    <row r="6" spans="1:16383" s="18" customFormat="1" x14ac:dyDescent="0.2">
      <c r="A6" s="23" t="s">
        <v>55</v>
      </c>
      <c r="B6" s="77">
        <v>26.1197305847212</v>
      </c>
      <c r="C6" s="77">
        <v>47.012784174907999</v>
      </c>
      <c r="D6" s="77">
        <v>4.6111145266343101</v>
      </c>
      <c r="E6" s="77">
        <v>4.6532786481939796</v>
      </c>
      <c r="F6" s="25">
        <v>0.87214541086675401</v>
      </c>
      <c r="G6" s="74">
        <v>-239.719298245614</v>
      </c>
      <c r="H6" s="74">
        <v>174.24924217771365</v>
      </c>
      <c r="I6" s="74">
        <f>1.9892677773339-3</f>
        <v>-1.0107322226661</v>
      </c>
      <c r="J6" s="74">
        <v>6.8857734520761298</v>
      </c>
    </row>
    <row r="7" spans="1:16383" s="18" customFormat="1" x14ac:dyDescent="0.2">
      <c r="A7" s="23" t="s">
        <v>56</v>
      </c>
      <c r="B7" s="76">
        <v>26.12</v>
      </c>
      <c r="C7" s="76">
        <v>50.407900000000005</v>
      </c>
      <c r="D7" s="63" t="s">
        <v>52</v>
      </c>
      <c r="E7" s="76">
        <v>4.9213000000000005</v>
      </c>
      <c r="F7" s="26">
        <v>0.84456200000000003</v>
      </c>
      <c r="G7" s="73">
        <v>-239.720022</v>
      </c>
      <c r="H7" s="73">
        <v>174.24992599999999</v>
      </c>
      <c r="I7" s="74">
        <v>-1.0125649999999999</v>
      </c>
      <c r="J7" s="74">
        <v>7.1190980000000001</v>
      </c>
    </row>
    <row r="8" spans="1:16383" s="18" customFormat="1" x14ac:dyDescent="0.2">
      <c r="A8" s="23" t="s">
        <v>57</v>
      </c>
      <c r="B8" s="76">
        <v>26.119729589999999</v>
      </c>
      <c r="C8" s="63" t="s">
        <v>52</v>
      </c>
      <c r="D8" s="76">
        <v>4.0616095269999999</v>
      </c>
      <c r="E8" s="76">
        <v>4.1094156460000004</v>
      </c>
      <c r="F8" s="63" t="s">
        <v>52</v>
      </c>
      <c r="G8" s="73">
        <v>-239.7192982</v>
      </c>
      <c r="H8" s="73">
        <v>175.0185582</v>
      </c>
      <c r="I8" s="73">
        <v>-1.0019679239999999</v>
      </c>
      <c r="J8" s="73">
        <v>5.2254519530000003</v>
      </c>
    </row>
    <row r="9" spans="1:16383" s="18" customFormat="1" x14ac:dyDescent="0.2">
      <c r="A9" s="23" t="s">
        <v>58</v>
      </c>
      <c r="B9" s="76">
        <v>26.119700000000002</v>
      </c>
      <c r="C9" s="76">
        <v>47.012799999999999</v>
      </c>
      <c r="D9" s="76">
        <v>4.1093999999999999</v>
      </c>
      <c r="E9" s="76">
        <v>4.1093999999999999</v>
      </c>
      <c r="F9" s="26">
        <v>0.87214000000000003</v>
      </c>
      <c r="G9" s="73">
        <v>-239.71899999999999</v>
      </c>
      <c r="H9" s="73">
        <v>174.249</v>
      </c>
      <c r="I9" s="73">
        <v>-1.0106999999999999</v>
      </c>
      <c r="J9" s="73">
        <v>6.8876999999999997</v>
      </c>
    </row>
    <row r="10" spans="1:16383" s="18" customFormat="1" x14ac:dyDescent="0.2">
      <c r="A10" s="23" t="s">
        <v>59</v>
      </c>
      <c r="B10" s="39">
        <v>26.119731000000002</v>
      </c>
      <c r="C10" s="39">
        <v>34.366750000000003</v>
      </c>
      <c r="D10" s="39">
        <v>4.0616099999999999</v>
      </c>
      <c r="E10" s="39">
        <v>4.1094160000000004</v>
      </c>
      <c r="F10" s="40">
        <v>1.254697</v>
      </c>
      <c r="G10" s="32">
        <v>-239.71929800000001</v>
      </c>
      <c r="H10" s="32">
        <v>175.01855800000001</v>
      </c>
      <c r="I10" s="32">
        <f>1.989268-3</f>
        <v>-1.010732</v>
      </c>
      <c r="J10" s="32">
        <v>5.70688</v>
      </c>
    </row>
    <row r="11" spans="1:16383" s="18" customFormat="1" x14ac:dyDescent="0.2">
      <c r="A11" s="23" t="s">
        <v>61</v>
      </c>
      <c r="B11" s="76">
        <v>26.119730000000001</v>
      </c>
      <c r="C11" s="76">
        <v>32.922376</v>
      </c>
      <c r="D11" s="76">
        <v>4.0616089999999998</v>
      </c>
      <c r="E11" s="76">
        <v>4.1094160000000004</v>
      </c>
      <c r="F11" s="26">
        <v>1.29312</v>
      </c>
      <c r="G11" s="73">
        <v>-239.71929900000001</v>
      </c>
      <c r="H11" s="73">
        <v>174.24923699999999</v>
      </c>
      <c r="I11" s="73">
        <v>-1.010732</v>
      </c>
      <c r="J11" s="73">
        <v>6.379753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8" t="s">
        <v>52</v>
      </c>
      <c r="H12" s="68" t="s">
        <v>52</v>
      </c>
      <c r="I12" s="68" t="s">
        <v>52</v>
      </c>
      <c r="J12" s="74">
        <v>3.9255609204578099</v>
      </c>
    </row>
    <row r="13" spans="1:16383" x14ac:dyDescent="0.2">
      <c r="A13" s="23" t="s">
        <v>62</v>
      </c>
      <c r="B13" s="76">
        <v>26.1197305847212</v>
      </c>
      <c r="C13" s="76">
        <v>47.012784174907999</v>
      </c>
      <c r="D13" s="89">
        <v>4.6111145266343101</v>
      </c>
      <c r="E13" s="76">
        <v>4.6532786481939796</v>
      </c>
      <c r="F13" s="26">
        <v>0.87214541086675401</v>
      </c>
      <c r="G13" s="73">
        <v>-239.719298245614</v>
      </c>
      <c r="H13" s="79">
        <v>174.24924217771365</v>
      </c>
      <c r="I13" s="73">
        <f>1.9892677773339-3</f>
        <v>-1.0107322226661</v>
      </c>
      <c r="J13" s="68" t="s">
        <v>52</v>
      </c>
    </row>
    <row r="14" spans="1:16383" x14ac:dyDescent="0.2">
      <c r="A14" s="23" t="s">
        <v>63</v>
      </c>
      <c r="B14" s="77">
        <v>26.119730000000001</v>
      </c>
      <c r="C14" s="77">
        <v>47.012782999999999</v>
      </c>
      <c r="D14" s="77">
        <v>4.4078808</v>
      </c>
      <c r="E14" s="77">
        <v>4.6532787999999998</v>
      </c>
      <c r="F14" s="25">
        <v>0.87214541000000001</v>
      </c>
      <c r="G14" s="74">
        <v>-239.7193</v>
      </c>
      <c r="H14" s="74">
        <v>175.01855</v>
      </c>
      <c r="I14" s="74">
        <v>-1.0107322000000001</v>
      </c>
      <c r="J14" s="74">
        <v>8.0502710000000004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23" t="s">
        <v>64</v>
      </c>
      <c r="B15" s="39">
        <v>26.119729589999999</v>
      </c>
      <c r="C15" s="39">
        <v>43.696642590000003</v>
      </c>
      <c r="D15" s="39">
        <v>4.1216639830000004</v>
      </c>
      <c r="E15" s="63" t="s">
        <v>52</v>
      </c>
      <c r="F15" s="40">
        <v>0.97427562970000003</v>
      </c>
      <c r="G15" s="32">
        <v>-239.7192982</v>
      </c>
      <c r="H15" s="32">
        <v>175.0185582</v>
      </c>
      <c r="I15" s="32">
        <f>1.95452141-3</f>
        <v>-1.0454785900000001</v>
      </c>
      <c r="J15" s="32">
        <v>8.1368032939999999</v>
      </c>
    </row>
    <row r="16" spans="1:16383" x14ac:dyDescent="0.2">
      <c r="A16" s="37"/>
      <c r="B16" s="37"/>
      <c r="C16" s="37"/>
      <c r="D16" s="41"/>
      <c r="E16" s="37"/>
      <c r="F16" s="37"/>
      <c r="G16" s="37"/>
      <c r="H16" s="21"/>
      <c r="I16" s="85"/>
      <c r="J16" s="32"/>
    </row>
    <row r="17" spans="1:10" x14ac:dyDescent="0.2">
      <c r="A17" s="23" t="s">
        <v>15</v>
      </c>
      <c r="B17" s="39">
        <f t="shared" ref="B17:J17" si="0">AVERAGE(B3:B15)</f>
        <v>26.119736827453536</v>
      </c>
      <c r="C17" s="39">
        <f t="shared" si="0"/>
        <v>46.421427646346913</v>
      </c>
      <c r="D17" s="39">
        <f t="shared" si="0"/>
        <v>4.2527560809335112</v>
      </c>
      <c r="E17" s="39">
        <f t="shared" si="0"/>
        <v>4.4139602173079977</v>
      </c>
      <c r="F17" s="40">
        <f t="shared" si="0"/>
        <v>0.93353875203940972</v>
      </c>
      <c r="G17" s="39">
        <f t="shared" si="0"/>
        <v>-239.71933417426905</v>
      </c>
      <c r="H17" s="39">
        <f t="shared" si="0"/>
        <v>174.56982616121286</v>
      </c>
      <c r="I17" s="32">
        <f t="shared" si="0"/>
        <v>-1.0130420318610167</v>
      </c>
      <c r="J17" s="32">
        <f t="shared" si="0"/>
        <v>6.3527554226278289</v>
      </c>
    </row>
    <row r="18" spans="1:10" x14ac:dyDescent="0.2">
      <c r="A18" s="23" t="s">
        <v>16</v>
      </c>
      <c r="B18" s="32">
        <f t="shared" ref="B18:J18" si="1">STDEV(B3:B15)</f>
        <v>9.0976014290233999E-5</v>
      </c>
      <c r="C18" s="32">
        <f t="shared" si="1"/>
        <v>8.8999701344661126</v>
      </c>
      <c r="D18" s="32">
        <f t="shared" si="1"/>
        <v>0.25094908648291042</v>
      </c>
      <c r="E18" s="32">
        <f t="shared" si="1"/>
        <v>0.30880783926019961</v>
      </c>
      <c r="F18" s="40">
        <f t="shared" si="1"/>
        <v>0.18774201616376482</v>
      </c>
      <c r="G18" s="32">
        <f t="shared" si="1"/>
        <v>2.3302171334707553E-4</v>
      </c>
      <c r="H18" s="32">
        <f t="shared" si="1"/>
        <v>0.39611735465085168</v>
      </c>
      <c r="I18" s="40">
        <f t="shared" si="1"/>
        <v>1.0546272670146331E-2</v>
      </c>
      <c r="J18" s="40">
        <f t="shared" si="1"/>
        <v>1.9048732265118278</v>
      </c>
    </row>
    <row r="19" spans="1:10" x14ac:dyDescent="0.2">
      <c r="A19" s="23" t="s">
        <v>24</v>
      </c>
      <c r="B19" s="3">
        <f>B18/B17</f>
        <v>3.4830371718987733E-6</v>
      </c>
      <c r="C19" s="3">
        <f t="shared" ref="C19:J19" si="2">C18/C17</f>
        <v>0.19172116381833179</v>
      </c>
      <c r="D19" s="3">
        <f t="shared" si="2"/>
        <v>5.9008577427705482E-2</v>
      </c>
      <c r="E19" s="3">
        <f t="shared" si="2"/>
        <v>6.9961627213880162E-2</v>
      </c>
      <c r="F19" s="3">
        <f t="shared" si="2"/>
        <v>0.20110789804239343</v>
      </c>
      <c r="G19" s="3">
        <f t="shared" si="2"/>
        <v>-9.7206057304362219E-7</v>
      </c>
      <c r="H19" s="3">
        <f t="shared" si="2"/>
        <v>2.2691055113100858E-3</v>
      </c>
      <c r="I19" s="3">
        <f t="shared" si="2"/>
        <v>-1.0410498615513731E-2</v>
      </c>
      <c r="J19" s="3">
        <f t="shared" si="2"/>
        <v>0.29984992334615546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9"/>
      <c r="B21" s="9"/>
      <c r="C21" s="1"/>
    </row>
    <row r="22" spans="1:10" x14ac:dyDescent="0.2">
      <c r="C22" s="1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XFC22"/>
  <sheetViews>
    <sheetView zoomScale="90" zoomScaleNormal="90" workbookViewId="0">
      <selection activeCell="C15" sqref="C15"/>
    </sheetView>
  </sheetViews>
  <sheetFormatPr baseColWidth="10" defaultColWidth="8.83203125" defaultRowHeight="15" x14ac:dyDescent="0.2"/>
  <cols>
    <col min="1" max="1" width="33" customWidth="1"/>
    <col min="2" max="2" width="12.5" customWidth="1"/>
    <col min="3" max="3" width="14.5" customWidth="1"/>
    <col min="4" max="5" width="17.5" customWidth="1"/>
    <col min="6" max="6" width="14.6640625" customWidth="1"/>
    <col min="7" max="7" width="17.1640625" customWidth="1"/>
    <col min="8" max="8" width="15" customWidth="1"/>
    <col min="9" max="9" width="17.33203125" customWidth="1"/>
    <col min="10" max="10" width="14.5" customWidth="1"/>
  </cols>
  <sheetData>
    <row r="1" spans="1:16383" ht="16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6383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6383" s="18" customFormat="1" x14ac:dyDescent="0.2">
      <c r="A3" s="23" t="s">
        <v>10</v>
      </c>
      <c r="B3" s="76">
        <v>925.41499999999996</v>
      </c>
      <c r="C3" s="76">
        <v>588.61019999999996</v>
      </c>
      <c r="D3" s="76">
        <v>14.0036</v>
      </c>
      <c r="E3" s="76">
        <v>16.0288</v>
      </c>
      <c r="F3" s="26">
        <v>0.78020999999999996</v>
      </c>
      <c r="G3" s="76">
        <v>-121.61069999999999</v>
      </c>
      <c r="H3" s="76">
        <v>208.12459999999999</v>
      </c>
      <c r="I3" s="73">
        <f>2.3801-3</f>
        <v>-0.6198999999999999</v>
      </c>
      <c r="J3" s="73">
        <v>2.9357000000000002</v>
      </c>
    </row>
    <row r="4" spans="1:16383" s="18" customFormat="1" x14ac:dyDescent="0.2">
      <c r="A4" s="23" t="s">
        <v>11</v>
      </c>
      <c r="B4" s="76">
        <v>925.41503909999994</v>
      </c>
      <c r="C4" s="76">
        <v>591.10102129999996</v>
      </c>
      <c r="D4" s="76">
        <v>14.638225609999999</v>
      </c>
      <c r="E4" s="76">
        <v>16.790552949999999</v>
      </c>
      <c r="F4" s="26">
        <v>0.77126424900000001</v>
      </c>
      <c r="G4" s="76">
        <v>-121.6107143</v>
      </c>
      <c r="H4" s="76">
        <v>208.06267858508409</v>
      </c>
      <c r="I4" s="73">
        <f>2.38009214-3</f>
        <v>-0.61990786000000009</v>
      </c>
      <c r="J4" s="73">
        <v>8.9110510569999999</v>
      </c>
    </row>
    <row r="5" spans="1:16383" s="18" customFormat="1" x14ac:dyDescent="0.2">
      <c r="A5" s="23" t="s">
        <v>54</v>
      </c>
      <c r="B5" s="76">
        <v>925.41499999999996</v>
      </c>
      <c r="C5" s="76">
        <v>803.13959999999997</v>
      </c>
      <c r="D5" s="76">
        <v>13.2143</v>
      </c>
      <c r="E5" s="76">
        <v>15.906000000000001</v>
      </c>
      <c r="F5" s="26">
        <v>0.57181000000000004</v>
      </c>
      <c r="G5" s="76">
        <v>-121.61069999999999</v>
      </c>
      <c r="H5" s="76">
        <v>208.06270000000001</v>
      </c>
      <c r="I5" s="73">
        <v>-0.61990999999999996</v>
      </c>
      <c r="J5" s="73">
        <v>11.6309</v>
      </c>
    </row>
    <row r="6" spans="1:16383" s="18" customFormat="1" x14ac:dyDescent="0.2">
      <c r="A6" s="23" t="s">
        <v>55</v>
      </c>
      <c r="B6" s="77">
        <v>925.4150390625</v>
      </c>
      <c r="C6" s="77">
        <v>591.10102131703502</v>
      </c>
      <c r="D6" s="77">
        <v>14.6382256071486</v>
      </c>
      <c r="E6" s="77">
        <v>16.790552952688302</v>
      </c>
      <c r="F6" s="25">
        <v>0.77126424944137695</v>
      </c>
      <c r="G6" s="77">
        <v>-121.610714285714</v>
      </c>
      <c r="H6" s="77">
        <v>208.06267858156926</v>
      </c>
      <c r="I6" s="74">
        <f>2.38009214007674-3</f>
        <v>-0.61990785992326014</v>
      </c>
      <c r="J6" s="74">
        <v>8.9110510565465599</v>
      </c>
    </row>
    <row r="7" spans="1:16383" s="18" customFormat="1" x14ac:dyDescent="0.2">
      <c r="A7" s="23" t="s">
        <v>56</v>
      </c>
      <c r="B7" s="76">
        <v>925.41499999999996</v>
      </c>
      <c r="C7" s="76">
        <v>583.08169999999996</v>
      </c>
      <c r="D7" s="63" t="s">
        <v>52</v>
      </c>
      <c r="E7" s="76">
        <v>16.63589</v>
      </c>
      <c r="F7" s="26">
        <v>0.78761199999999998</v>
      </c>
      <c r="G7" s="76">
        <v>-121.610714</v>
      </c>
      <c r="H7" s="76">
        <v>208.062679</v>
      </c>
      <c r="I7" s="74">
        <v>-0.62092000000000003</v>
      </c>
      <c r="J7" s="74">
        <v>10.046965999999999</v>
      </c>
    </row>
    <row r="8" spans="1:16383" s="18" customFormat="1" x14ac:dyDescent="0.2">
      <c r="A8" s="23" t="s">
        <v>57</v>
      </c>
      <c r="B8" s="76">
        <v>925.41503909999994</v>
      </c>
      <c r="C8" s="63" t="s">
        <v>52</v>
      </c>
      <c r="D8" s="76">
        <v>14.00357518</v>
      </c>
      <c r="E8" s="76">
        <v>16.028812200000001</v>
      </c>
      <c r="F8" s="63" t="s">
        <v>52</v>
      </c>
      <c r="G8" s="76">
        <v>-121.6107143</v>
      </c>
      <c r="H8" s="76">
        <v>208.12462970000001</v>
      </c>
      <c r="I8" s="73">
        <v>-0.61817683499999998</v>
      </c>
      <c r="J8" s="73">
        <v>4.5134776729999997</v>
      </c>
    </row>
    <row r="9" spans="1:16383" s="18" customFormat="1" x14ac:dyDescent="0.2">
      <c r="A9" s="23" t="s">
        <v>58</v>
      </c>
      <c r="B9" s="76">
        <v>925.41499999999996</v>
      </c>
      <c r="C9" s="76">
        <v>591.101</v>
      </c>
      <c r="D9" s="76">
        <v>16.0288</v>
      </c>
      <c r="E9" s="76">
        <v>16.0288</v>
      </c>
      <c r="F9" s="26">
        <v>0.77125999999999995</v>
      </c>
      <c r="G9" s="76">
        <v>-121.611</v>
      </c>
      <c r="H9" s="76">
        <v>208.06299999999999</v>
      </c>
      <c r="I9" s="73">
        <v>-0.61990999999999996</v>
      </c>
      <c r="J9" s="73">
        <v>8.8895</v>
      </c>
    </row>
    <row r="10" spans="1:16383" s="18" customFormat="1" x14ac:dyDescent="0.2">
      <c r="A10" s="23" t="s">
        <v>59</v>
      </c>
      <c r="B10" s="69">
        <v>925.41503899999998</v>
      </c>
      <c r="C10" s="69">
        <v>419.91174999999998</v>
      </c>
      <c r="D10" s="69">
        <v>14.003565999999999</v>
      </c>
      <c r="E10" s="69">
        <v>16.028807</v>
      </c>
      <c r="F10" s="35">
        <v>1.034826</v>
      </c>
      <c r="G10" s="69">
        <v>-121.610714</v>
      </c>
      <c r="H10" s="69">
        <v>208.12463</v>
      </c>
      <c r="I10" s="70">
        <f>2.380092-3</f>
        <v>-0.61990800000000013</v>
      </c>
      <c r="J10" s="70">
        <v>6.515161</v>
      </c>
    </row>
    <row r="11" spans="1:16383" s="18" customFormat="1" x14ac:dyDescent="0.2">
      <c r="A11" s="23" t="s">
        <v>61</v>
      </c>
      <c r="B11" s="78">
        <v>925.41503899999998</v>
      </c>
      <c r="C11" s="78">
        <v>469.804688</v>
      </c>
      <c r="D11" s="78">
        <v>14.003565999999999</v>
      </c>
      <c r="E11" s="78">
        <v>16.028807</v>
      </c>
      <c r="F11" s="27">
        <v>0.97751699999999997</v>
      </c>
      <c r="G11" s="78">
        <v>-121.61071800000001</v>
      </c>
      <c r="H11" s="78">
        <v>208.06268299999999</v>
      </c>
      <c r="I11" s="75">
        <v>-0.61990800000000001</v>
      </c>
      <c r="J11" s="75">
        <v>9.2736029999999996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74">
        <v>3.88887235745521</v>
      </c>
    </row>
    <row r="13" spans="1:16383" x14ac:dyDescent="0.2">
      <c r="A13" s="23" t="s">
        <v>62</v>
      </c>
      <c r="B13" s="76">
        <v>925.4150390625</v>
      </c>
      <c r="C13" s="76">
        <v>591.10102131703502</v>
      </c>
      <c r="D13" s="89">
        <v>14.6382256071486</v>
      </c>
      <c r="E13" s="76">
        <v>16.790552952688302</v>
      </c>
      <c r="F13" s="26">
        <v>0.77126424944137695</v>
      </c>
      <c r="G13" s="76">
        <v>-121.610714285714</v>
      </c>
      <c r="H13" s="80">
        <v>208.06267858156926</v>
      </c>
      <c r="I13" s="73">
        <f>2.38009214007674-3</f>
        <v>-0.61990785992326014</v>
      </c>
      <c r="J13" s="68" t="s">
        <v>52</v>
      </c>
    </row>
    <row r="14" spans="1:16383" x14ac:dyDescent="0.2">
      <c r="A14" s="23" t="s">
        <v>63</v>
      </c>
      <c r="B14" s="77">
        <v>925.41503999999998</v>
      </c>
      <c r="C14" s="77">
        <v>591.10100999999997</v>
      </c>
      <c r="D14" s="77">
        <v>14.638226</v>
      </c>
      <c r="E14" s="77">
        <v>16.790552000000002</v>
      </c>
      <c r="F14" s="25">
        <v>0.77126426000000003</v>
      </c>
      <c r="G14" s="77">
        <v>-121.61072</v>
      </c>
      <c r="H14" s="77">
        <v>208.12463</v>
      </c>
      <c r="I14" s="74">
        <v>-0.61990785999999998</v>
      </c>
      <c r="J14" s="74">
        <v>10.420567999999999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23" t="s">
        <v>64</v>
      </c>
      <c r="B15" s="39">
        <v>925.41503909999994</v>
      </c>
      <c r="C15" s="39">
        <v>540.03856229999997</v>
      </c>
      <c r="D15" s="39">
        <v>14.454019799999999</v>
      </c>
      <c r="E15" s="63" t="s">
        <v>52</v>
      </c>
      <c r="F15" s="40">
        <v>0.85038786479999995</v>
      </c>
      <c r="G15" s="39">
        <v>-121.6107143</v>
      </c>
      <c r="H15" s="39">
        <v>208.12462970000001</v>
      </c>
      <c r="I15" s="32">
        <f>2.37725954-3</f>
        <v>-0.62274046000000016</v>
      </c>
      <c r="J15" s="32">
        <v>7.1124969399999998</v>
      </c>
    </row>
    <row r="16" spans="1:16383" x14ac:dyDescent="0.2">
      <c r="A16" s="37"/>
      <c r="B16" s="37"/>
      <c r="C16" s="37"/>
      <c r="D16" s="41"/>
      <c r="E16" s="37"/>
      <c r="F16" s="37"/>
      <c r="G16" s="37"/>
      <c r="H16" s="21"/>
      <c r="I16" s="37"/>
      <c r="J16" s="23"/>
    </row>
    <row r="17" spans="1:10" x14ac:dyDescent="0.2">
      <c r="A17" s="23" t="s">
        <v>15</v>
      </c>
      <c r="B17" s="39">
        <f t="shared" ref="B17:J17" si="0">AVERAGE(B3:B15)</f>
        <v>925.41502611875001</v>
      </c>
      <c r="C17" s="39">
        <f t="shared" si="0"/>
        <v>578.19014311218825</v>
      </c>
      <c r="D17" s="39">
        <f t="shared" si="0"/>
        <v>14.387666345845201</v>
      </c>
      <c r="E17" s="39">
        <f t="shared" si="0"/>
        <v>16.349829732306965</v>
      </c>
      <c r="F17" s="40">
        <f t="shared" si="0"/>
        <v>0.80533453388025034</v>
      </c>
      <c r="G17" s="39">
        <f t="shared" si="0"/>
        <v>-121.61073645595233</v>
      </c>
      <c r="H17" s="39">
        <f t="shared" si="0"/>
        <v>208.08851809568523</v>
      </c>
      <c r="I17" s="32">
        <f t="shared" si="0"/>
        <v>-0.62008372790387667</v>
      </c>
      <c r="J17" s="32">
        <f t="shared" si="0"/>
        <v>7.7541122570001475</v>
      </c>
    </row>
    <row r="18" spans="1:10" x14ac:dyDescent="0.2">
      <c r="A18" s="23" t="s">
        <v>16</v>
      </c>
      <c r="B18" s="32">
        <f t="shared" ref="B18:J18" si="1">STDEV(B3:B15)</f>
        <v>1.9291822561715294E-5</v>
      </c>
      <c r="C18" s="32">
        <f t="shared" si="1"/>
        <v>94.7751105670513</v>
      </c>
      <c r="D18" s="32">
        <f t="shared" si="1"/>
        <v>0.70112268101108188</v>
      </c>
      <c r="E18" s="32">
        <f t="shared" si="1"/>
        <v>0.39636421600181598</v>
      </c>
      <c r="F18" s="40">
        <f t="shared" si="1"/>
        <v>0.1206756752284428</v>
      </c>
      <c r="G18" s="32">
        <f t="shared" si="1"/>
        <v>8.3224338510665707E-5</v>
      </c>
      <c r="H18" s="32">
        <f t="shared" si="1"/>
        <v>3.1871957769324707E-2</v>
      </c>
      <c r="I18" s="40">
        <f t="shared" si="1"/>
        <v>1.0301550824493378E-3</v>
      </c>
      <c r="J18" s="40">
        <f t="shared" si="1"/>
        <v>2.7679526243480761</v>
      </c>
    </row>
    <row r="19" spans="1:10" x14ac:dyDescent="0.2">
      <c r="A19" s="23" t="s">
        <v>24</v>
      </c>
      <c r="B19" s="3">
        <f>B18/B17</f>
        <v>2.0846670971646564E-8</v>
      </c>
      <c r="C19" s="3">
        <f t="shared" ref="C19:J19" si="2">C18/C17</f>
        <v>0.16391685623852248</v>
      </c>
      <c r="D19" s="3">
        <f t="shared" si="2"/>
        <v>4.8730813194979926E-2</v>
      </c>
      <c r="E19" s="3">
        <f t="shared" si="2"/>
        <v>2.4242712156115457E-2</v>
      </c>
      <c r="F19" s="3">
        <f t="shared" si="2"/>
        <v>0.14984539983279388</v>
      </c>
      <c r="G19" s="3">
        <f t="shared" si="2"/>
        <v>-6.8435025505177937E-7</v>
      </c>
      <c r="H19" s="3">
        <f t="shared" si="2"/>
        <v>1.5316538394813807E-4</v>
      </c>
      <c r="I19" s="3">
        <f t="shared" si="2"/>
        <v>-1.6613161031199144E-3</v>
      </c>
      <c r="J19" s="3">
        <f t="shared" si="2"/>
        <v>0.35696576637116173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B21" s="4"/>
      <c r="C21" s="4"/>
      <c r="D21" s="4"/>
      <c r="E21" s="4"/>
      <c r="F21" s="4"/>
      <c r="G21" s="4"/>
      <c r="J21" s="4"/>
    </row>
    <row r="22" spans="1:10" x14ac:dyDescent="0.2">
      <c r="C22" s="1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21"/>
  <sheetViews>
    <sheetView zoomScale="90" zoomScaleNormal="90" workbookViewId="0">
      <selection activeCell="D21" sqref="D21"/>
    </sheetView>
  </sheetViews>
  <sheetFormatPr baseColWidth="10" defaultColWidth="8.83203125" defaultRowHeight="15" x14ac:dyDescent="0.2"/>
  <cols>
    <col min="1" max="1" width="33.33203125" customWidth="1"/>
    <col min="2" max="2" width="12.5" customWidth="1"/>
    <col min="3" max="3" width="14.5" customWidth="1"/>
    <col min="4" max="4" width="18.1640625" customWidth="1"/>
    <col min="5" max="5" width="17.5" customWidth="1"/>
    <col min="6" max="6" width="14.33203125" customWidth="1"/>
    <col min="7" max="7" width="15.5" customWidth="1"/>
    <col min="8" max="8" width="14.6640625" customWidth="1"/>
    <col min="9" max="9" width="16.1640625" customWidth="1"/>
    <col min="10" max="10" width="14.6640625" customWidth="1"/>
  </cols>
  <sheetData>
    <row r="1" spans="1:10" ht="16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0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0" s="18" customFormat="1" x14ac:dyDescent="0.2">
      <c r="A3" s="23" t="s">
        <v>10</v>
      </c>
      <c r="B3" s="76">
        <v>259.02499999999998</v>
      </c>
      <c r="C3" s="76">
        <v>264.69929999999999</v>
      </c>
      <c r="D3" s="76">
        <v>9.8292000000000002</v>
      </c>
      <c r="E3" s="76">
        <v>13.6281</v>
      </c>
      <c r="F3" s="26">
        <v>0.74238000000000004</v>
      </c>
      <c r="G3" s="76">
        <v>-502.19349999999997</v>
      </c>
      <c r="H3" s="76">
        <v>163.21029999999999</v>
      </c>
      <c r="I3" s="73">
        <f>2.2701-3</f>
        <v>-0.72990000000000022</v>
      </c>
      <c r="J3" s="73">
        <v>2.4481000000000002</v>
      </c>
    </row>
    <row r="4" spans="1:10" s="18" customFormat="1" x14ac:dyDescent="0.2">
      <c r="A4" s="23" t="s">
        <v>11</v>
      </c>
      <c r="B4" s="76">
        <v>259.02692039999999</v>
      </c>
      <c r="C4" s="76">
        <v>262.90342240000001</v>
      </c>
      <c r="D4" s="76">
        <v>11.21863799</v>
      </c>
      <c r="E4" s="76">
        <v>14.343127300000001</v>
      </c>
      <c r="F4" s="26">
        <v>0.72552514000000001</v>
      </c>
      <c r="G4" s="76">
        <v>-502.1935484</v>
      </c>
      <c r="H4" s="76">
        <v>162.88087757622134</v>
      </c>
      <c r="I4" s="73">
        <f>2.270091716-3</f>
        <v>-0.72990828399999996</v>
      </c>
      <c r="J4" s="73">
        <v>7.4813959900000002</v>
      </c>
    </row>
    <row r="5" spans="1:10" s="18" customFormat="1" x14ac:dyDescent="0.2">
      <c r="A5" s="23" t="s">
        <v>54</v>
      </c>
      <c r="B5" s="76">
        <v>259.02690000000001</v>
      </c>
      <c r="C5" s="76">
        <v>339.89670000000001</v>
      </c>
      <c r="D5" s="76">
        <v>9.8292000000000002</v>
      </c>
      <c r="E5" s="76">
        <v>13.638199999999999</v>
      </c>
      <c r="F5" s="26">
        <v>0.57813999999999999</v>
      </c>
      <c r="G5" s="76">
        <v>-502.19349999999997</v>
      </c>
      <c r="H5" s="76">
        <v>162.8809</v>
      </c>
      <c r="I5" s="73">
        <v>-0.72990999999999995</v>
      </c>
      <c r="J5" s="73">
        <v>9.9212000000000007</v>
      </c>
    </row>
    <row r="6" spans="1:10" s="18" customFormat="1" x14ac:dyDescent="0.2">
      <c r="A6" s="36" t="s">
        <v>55</v>
      </c>
      <c r="B6" s="76">
        <v>259.02692039065499</v>
      </c>
      <c r="C6" s="76">
        <v>262.90342240710697</v>
      </c>
      <c r="D6" s="76">
        <v>11.218637989300399</v>
      </c>
      <c r="E6" s="76">
        <v>14.343127297043599</v>
      </c>
      <c r="F6" s="26">
        <v>0.72552513975219701</v>
      </c>
      <c r="G6" s="76">
        <v>-502.19354838709597</v>
      </c>
      <c r="H6" s="76">
        <v>162.88087757915997</v>
      </c>
      <c r="I6" s="73">
        <f>2.27009171577453-3</f>
        <v>-0.72990828422546983</v>
      </c>
      <c r="J6" s="73">
        <v>7.4813959898991502</v>
      </c>
    </row>
    <row r="7" spans="1:10" s="18" customFormat="1" x14ac:dyDescent="0.2">
      <c r="A7" s="36" t="s">
        <v>56</v>
      </c>
      <c r="B7" s="76">
        <v>259.02699999999999</v>
      </c>
      <c r="C7" s="76">
        <v>380.09300000000002</v>
      </c>
      <c r="D7" s="63" t="s">
        <v>52</v>
      </c>
      <c r="E7" s="76">
        <v>14.374089999999999</v>
      </c>
      <c r="F7" s="26">
        <v>0.51700000000000002</v>
      </c>
      <c r="G7" s="76">
        <v>-502.19343700000002</v>
      </c>
      <c r="H7" s="76">
        <v>162.88049599999999</v>
      </c>
      <c r="I7" s="73">
        <v>-0.72886300000000004</v>
      </c>
      <c r="J7" s="73">
        <v>9.2273250000000004</v>
      </c>
    </row>
    <row r="8" spans="1:10" s="18" customFormat="1" x14ac:dyDescent="0.2">
      <c r="A8" s="36" t="s">
        <v>57</v>
      </c>
      <c r="B8" s="76">
        <v>259.02692869999998</v>
      </c>
      <c r="C8" s="63" t="s">
        <v>52</v>
      </c>
      <c r="D8" s="76">
        <v>9.8291842719999991</v>
      </c>
      <c r="E8" s="76">
        <v>13.628107010000001</v>
      </c>
      <c r="F8" s="63" t="s">
        <v>52</v>
      </c>
      <c r="G8" s="76">
        <v>-502.1935484</v>
      </c>
      <c r="H8" s="76">
        <v>163.2102629</v>
      </c>
      <c r="I8" s="73">
        <v>-0.72025135600000001</v>
      </c>
      <c r="J8" s="73">
        <v>5.2942087080000002</v>
      </c>
    </row>
    <row r="9" spans="1:10" s="18" customFormat="1" x14ac:dyDescent="0.2">
      <c r="A9" s="36" t="s">
        <v>58</v>
      </c>
      <c r="B9" s="76">
        <v>259.02699999999999</v>
      </c>
      <c r="C9" s="76">
        <v>262.90300000000002</v>
      </c>
      <c r="D9" s="76">
        <v>13.6281</v>
      </c>
      <c r="E9" s="76">
        <v>13.6281</v>
      </c>
      <c r="F9" s="26">
        <v>0.72552000000000005</v>
      </c>
      <c r="G9" s="76">
        <v>-502.19400000000002</v>
      </c>
      <c r="H9" s="76">
        <v>162.881</v>
      </c>
      <c r="I9" s="73">
        <v>-0.72990999999999995</v>
      </c>
      <c r="J9" s="73">
        <v>7.4089</v>
      </c>
    </row>
    <row r="10" spans="1:10" s="18" customFormat="1" x14ac:dyDescent="0.2">
      <c r="A10" s="36" t="s">
        <v>59</v>
      </c>
      <c r="B10" s="108">
        <v>259.02692000000002</v>
      </c>
      <c r="C10" s="108">
        <v>199.935</v>
      </c>
      <c r="D10" s="108">
        <v>9.8291839999999997</v>
      </c>
      <c r="E10" s="108">
        <v>13.628107</v>
      </c>
      <c r="F10" s="38">
        <v>0.87746500000000005</v>
      </c>
      <c r="G10" s="108">
        <v>-502.19354800000002</v>
      </c>
      <c r="H10" s="108">
        <v>163.210263</v>
      </c>
      <c r="I10" s="91">
        <f>2.270092-3</f>
        <v>-0.729908</v>
      </c>
      <c r="J10" s="91">
        <v>6.2279439999999999</v>
      </c>
    </row>
    <row r="11" spans="1:10" s="18" customFormat="1" x14ac:dyDescent="0.2">
      <c r="A11" s="36" t="s">
        <v>61</v>
      </c>
      <c r="B11" s="76">
        <v>259.026929</v>
      </c>
      <c r="C11" s="76">
        <v>173.437443</v>
      </c>
      <c r="D11" s="76">
        <v>9.8291850000000007</v>
      </c>
      <c r="E11" s="76">
        <v>13.628107999999999</v>
      </c>
      <c r="F11" s="26">
        <v>1.1330210000000001</v>
      </c>
      <c r="G11" s="76">
        <v>-502.19354199999998</v>
      </c>
      <c r="H11" s="76">
        <v>162.880875</v>
      </c>
      <c r="I11" s="73">
        <v>-0.729908</v>
      </c>
      <c r="J11" s="73">
        <v>7.4070489999999998</v>
      </c>
    </row>
    <row r="12" spans="1:10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74">
        <v>3.9009179622185801</v>
      </c>
    </row>
    <row r="13" spans="1:10" x14ac:dyDescent="0.2">
      <c r="A13" s="23" t="s">
        <v>62</v>
      </c>
      <c r="B13" s="76">
        <v>259.02692039065499</v>
      </c>
      <c r="C13" s="76">
        <v>262.90342240710697</v>
      </c>
      <c r="D13" s="89">
        <v>11.218637989300399</v>
      </c>
      <c r="E13" s="76">
        <v>14.343127297043599</v>
      </c>
      <c r="F13" s="26">
        <v>0.72552513975219701</v>
      </c>
      <c r="G13" s="76">
        <v>-502.19354838709597</v>
      </c>
      <c r="H13" s="80">
        <v>162.88087757915997</v>
      </c>
      <c r="I13" s="73">
        <f>2.27009171577453-3</f>
        <v>-0.72990828422546983</v>
      </c>
      <c r="J13" s="68" t="s">
        <v>52</v>
      </c>
    </row>
    <row r="14" spans="1:10" x14ac:dyDescent="0.2">
      <c r="A14" s="23" t="s">
        <v>63</v>
      </c>
      <c r="B14" s="77">
        <v>259.02692000000002</v>
      </c>
      <c r="C14" s="77">
        <v>262.90341000000001</v>
      </c>
      <c r="D14" s="77">
        <v>10.346859</v>
      </c>
      <c r="E14" s="77">
        <v>14.343127000000001</v>
      </c>
      <c r="F14" s="25">
        <v>0.72552514000000001</v>
      </c>
      <c r="G14" s="77">
        <v>-502.19353999999998</v>
      </c>
      <c r="H14" s="77">
        <v>163.21027000000001</v>
      </c>
      <c r="I14" s="74">
        <v>-0.72990829000000002</v>
      </c>
      <c r="J14" s="74">
        <v>9.0105676999999993</v>
      </c>
    </row>
    <row r="15" spans="1:10" x14ac:dyDescent="0.2">
      <c r="A15" s="23" t="s">
        <v>64</v>
      </c>
      <c r="B15" s="39">
        <v>259.02692869999998</v>
      </c>
      <c r="C15" s="39">
        <v>246.88977149999999</v>
      </c>
      <c r="D15" s="39">
        <v>13.16359345</v>
      </c>
      <c r="E15" s="63" t="s">
        <v>52</v>
      </c>
      <c r="F15" s="40">
        <v>0.79593506410000003</v>
      </c>
      <c r="G15" s="39">
        <v>-502.1935484</v>
      </c>
      <c r="H15" s="39">
        <v>163.2102629</v>
      </c>
      <c r="I15" s="32">
        <f>2.251821434-3</f>
        <v>-0.74817856599999999</v>
      </c>
      <c r="J15" s="32">
        <v>8.2459737680000007</v>
      </c>
    </row>
    <row r="16" spans="1:10" x14ac:dyDescent="0.2">
      <c r="A16" s="37"/>
      <c r="B16" s="37"/>
      <c r="C16" s="37"/>
      <c r="D16" s="41"/>
      <c r="E16" s="37"/>
      <c r="F16" s="37"/>
      <c r="G16" s="37"/>
      <c r="H16" s="21"/>
      <c r="I16" s="85"/>
      <c r="J16" s="32"/>
    </row>
    <row r="17" spans="1:10" x14ac:dyDescent="0.2">
      <c r="A17" s="23" t="s">
        <v>15</v>
      </c>
      <c r="B17" s="39">
        <f t="shared" ref="B17:J17" si="0">AVERAGE(B3:B15)</f>
        <v>259.02677396510921</v>
      </c>
      <c r="C17" s="39">
        <f t="shared" si="0"/>
        <v>265.4061719740194</v>
      </c>
      <c r="D17" s="39">
        <f t="shared" si="0"/>
        <v>10.903674517327344</v>
      </c>
      <c r="E17" s="39">
        <f t="shared" si="0"/>
        <v>13.956847354917018</v>
      </c>
      <c r="F17" s="40">
        <f t="shared" si="0"/>
        <v>0.75196014760039953</v>
      </c>
      <c r="G17" s="39">
        <f t="shared" si="0"/>
        <v>-502.19356741451594</v>
      </c>
      <c r="H17" s="39">
        <f t="shared" si="0"/>
        <v>163.01810521121178</v>
      </c>
      <c r="I17" s="32">
        <f t="shared" si="0"/>
        <v>-0.73053850537091181</v>
      </c>
      <c r="J17" s="32">
        <f t="shared" si="0"/>
        <v>7.0045815098431445</v>
      </c>
    </row>
    <row r="18" spans="1:10" x14ac:dyDescent="0.2">
      <c r="A18" s="23" t="s">
        <v>16</v>
      </c>
      <c r="B18" s="32">
        <f t="shared" ref="B18:J18" si="1">STDEV(B3:B15)</f>
        <v>5.5953865519245492E-4</v>
      </c>
      <c r="C18" s="32">
        <f t="shared" si="1"/>
        <v>56.410377117291389</v>
      </c>
      <c r="D18" s="32">
        <f t="shared" si="1"/>
        <v>1.3751347257067612</v>
      </c>
      <c r="E18" s="32">
        <f t="shared" si="1"/>
        <v>0.37587707495364603</v>
      </c>
      <c r="F18" s="40">
        <f t="shared" si="1"/>
        <v>0.15871308967046102</v>
      </c>
      <c r="G18" s="32">
        <f t="shared" si="1"/>
        <v>1.4039253364295408E-4</v>
      </c>
      <c r="H18" s="32">
        <f t="shared" si="1"/>
        <v>0.169632146933788</v>
      </c>
      <c r="I18" s="40">
        <f t="shared" si="1"/>
        <v>6.2040017023943681E-3</v>
      </c>
      <c r="J18" s="40">
        <f t="shared" si="1"/>
        <v>2.2097971338860609</v>
      </c>
    </row>
    <row r="19" spans="1:10" x14ac:dyDescent="0.2">
      <c r="A19" s="23" t="s">
        <v>24</v>
      </c>
      <c r="B19" s="3">
        <f>B18/B17</f>
        <v>2.1601576031203034E-6</v>
      </c>
      <c r="C19" s="3">
        <f t="shared" ref="C19:J19" si="2">C18/C17</f>
        <v>0.21254357687964168</v>
      </c>
      <c r="D19" s="3">
        <f t="shared" si="2"/>
        <v>0.12611663375695001</v>
      </c>
      <c r="E19" s="3">
        <f t="shared" si="2"/>
        <v>2.6931373926735967E-2</v>
      </c>
      <c r="F19" s="3">
        <f t="shared" si="2"/>
        <v>0.21106582599747431</v>
      </c>
      <c r="G19" s="3">
        <f t="shared" si="2"/>
        <v>-2.7955860598881903E-7</v>
      </c>
      <c r="H19" s="3">
        <f t="shared" si="2"/>
        <v>1.0405724365033372E-3</v>
      </c>
      <c r="I19" s="3">
        <f t="shared" si="2"/>
        <v>-8.4923678311035079E-3</v>
      </c>
      <c r="J19" s="3">
        <f t="shared" si="2"/>
        <v>0.31547882350726553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B21" s="4"/>
      <c r="C21" s="4"/>
      <c r="D21" s="4"/>
      <c r="E21" s="4"/>
      <c r="F21" s="4"/>
      <c r="G21" s="4"/>
      <c r="J21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opLeftCell="C1" workbookViewId="0">
      <selection activeCell="G22" sqref="G22"/>
    </sheetView>
  </sheetViews>
  <sheetFormatPr baseColWidth="10" defaultColWidth="8.83203125" defaultRowHeight="15" x14ac:dyDescent="0.2"/>
  <cols>
    <col min="1" max="1" width="21.6640625" style="18" customWidth="1"/>
    <col min="2" max="2" width="13.5" style="10" bestFit="1" customWidth="1"/>
    <col min="3" max="6" width="12.6640625" style="11" bestFit="1" customWidth="1"/>
    <col min="7" max="7" width="17" style="11" customWidth="1"/>
    <col min="8" max="8" width="15.83203125" style="11" bestFit="1" customWidth="1"/>
    <col min="9" max="9" width="17.1640625" style="11" customWidth="1"/>
    <col min="10" max="11" width="12.6640625" style="11" bestFit="1" customWidth="1"/>
    <col min="12" max="12" width="16.83203125" customWidth="1"/>
    <col min="13" max="13" width="13" customWidth="1"/>
  </cols>
  <sheetData>
    <row r="1" spans="1:15" x14ac:dyDescent="0.2">
      <c r="A1" s="5"/>
      <c r="B1" s="18" t="s">
        <v>35</v>
      </c>
      <c r="C1" t="s">
        <v>36</v>
      </c>
      <c r="D1" t="s">
        <v>40</v>
      </c>
      <c r="E1" t="s">
        <v>41</v>
      </c>
      <c r="F1" t="s">
        <v>42</v>
      </c>
      <c r="G1" t="s">
        <v>38</v>
      </c>
      <c r="H1" t="s">
        <v>39</v>
      </c>
      <c r="I1" t="s">
        <v>37</v>
      </c>
      <c r="J1" t="s">
        <v>43</v>
      </c>
      <c r="K1" t="s">
        <v>44</v>
      </c>
    </row>
    <row r="2" spans="1:15" x14ac:dyDescent="0.2">
      <c r="A2" s="5" t="s">
        <v>17</v>
      </c>
      <c r="B2" s="10" t="s">
        <v>25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32</v>
      </c>
      <c r="J2" s="10" t="s">
        <v>33</v>
      </c>
      <c r="K2" s="11" t="s">
        <v>34</v>
      </c>
      <c r="L2" s="11" t="s">
        <v>45</v>
      </c>
      <c r="M2" s="11" t="s">
        <v>46</v>
      </c>
      <c r="O2" s="11"/>
    </row>
    <row r="3" spans="1:15" s="9" customFormat="1" x14ac:dyDescent="0.2">
      <c r="A3" s="7" t="s">
        <v>18</v>
      </c>
      <c r="B3" s="16">
        <f>'LIDC-0001 LIDC-RIDER 0314'!B19</f>
        <v>1.7135701270628985E-7</v>
      </c>
      <c r="C3" s="16">
        <f>'LIDC-0002 LIDC-RIDER 0325'!$B$19</f>
        <v>3.867209051208975E-7</v>
      </c>
      <c r="D3" s="16">
        <f>'LIDC-0003 LIDC-RIDER 0580'!$B$19</f>
        <v>1.6461665770042273E-6</v>
      </c>
      <c r="E3" s="16">
        <f>'LIDC-0004 LIDC-RIDER 0766'!$B$19</f>
        <v>4.3362525901034906E-7</v>
      </c>
      <c r="F3" s="16">
        <f>'LIDC-0005 LIDC-RIDER 0771'!$B$19</f>
        <v>3.198312170932246E-7</v>
      </c>
      <c r="G3" s="16">
        <f>'LIDC-0006 LIDC-RIDER 0811'!$B$19</f>
        <v>8.6566244516526687E-6</v>
      </c>
      <c r="H3" s="16">
        <f>'LIDC-0007 LIDC-RIDER 0905'!$B$19</f>
        <v>3.7186800334573961E-6</v>
      </c>
      <c r="I3" s="16">
        <f>'LIDC-0008 LIDC-RIDER 0963'!$B$19</f>
        <v>3.4830371718987733E-6</v>
      </c>
      <c r="J3" s="16">
        <f>'LIDC-0009 LIDC-RIDER 0965'!$B$19</f>
        <v>2.0846670971646564E-8</v>
      </c>
      <c r="K3" s="16">
        <f>'LIDC-0010 LIDC-RIDER 1012'!$B$19</f>
        <v>2.1601576031203034E-6</v>
      </c>
      <c r="L3" s="42">
        <f>AVERAGE($B3:$K3)</f>
        <v>2.0997046902035774E-6</v>
      </c>
      <c r="M3" s="14">
        <f>STDEV($B3:$K3)</f>
        <v>2.6802880686510858E-6</v>
      </c>
      <c r="O3" s="13"/>
    </row>
    <row r="4" spans="1:15" s="9" customFormat="1" x14ac:dyDescent="0.2">
      <c r="A4" s="7" t="s">
        <v>2</v>
      </c>
      <c r="B4" s="16">
        <f>'LIDC-0001 LIDC-RIDER 0314'!C19</f>
        <v>0.14453974658312596</v>
      </c>
      <c r="C4" s="16">
        <f>'LIDC-0002 LIDC-RIDER 0325'!$C$19</f>
        <v>0.1699779791382805</v>
      </c>
      <c r="D4" s="16">
        <f>'LIDC-0003 LIDC-RIDER 0580'!$C$19</f>
        <v>0.14508083220020415</v>
      </c>
      <c r="E4" s="16">
        <f>'LIDC-0004 LIDC-RIDER 0766'!$C$19</f>
        <v>0.1963422203251102</v>
      </c>
      <c r="F4" s="16">
        <f>'LIDC-0005 LIDC-RIDER 0771'!$C$19</f>
        <v>0.16162853820581674</v>
      </c>
      <c r="G4" s="16">
        <f>'LIDC-0006 LIDC-RIDER 0811'!$C$19</f>
        <v>0.18286158870499039</v>
      </c>
      <c r="H4" s="16">
        <f>'LIDC-0007 LIDC-RIDER 0905'!$C$19</f>
        <v>0.13749370943542946</v>
      </c>
      <c r="I4" s="16">
        <f>'LIDC-0008 LIDC-RIDER 0963'!$C$19</f>
        <v>0.19172116381833179</v>
      </c>
      <c r="J4" s="16">
        <f>'LIDC-0009 LIDC-RIDER 0965'!$C$19</f>
        <v>0.16391685623852248</v>
      </c>
      <c r="K4" s="16">
        <f>'LIDC-0010 LIDC-RIDER 1012'!$C$19</f>
        <v>0.21254357687964168</v>
      </c>
      <c r="L4" s="42">
        <f t="shared" ref="L4:L11" si="0">AVERAGE($B4:$K4)</f>
        <v>0.17061062115294534</v>
      </c>
      <c r="M4" s="14">
        <f t="shared" ref="M4:M11" si="1">STDEV($B4:$K4)</f>
        <v>2.4878156851057327E-2</v>
      </c>
      <c r="O4" s="13"/>
    </row>
    <row r="5" spans="1:15" s="9" customFormat="1" x14ac:dyDescent="0.2">
      <c r="A5" s="7" t="s">
        <v>19</v>
      </c>
      <c r="B5" s="16">
        <f>'LIDC-0001 LIDC-RIDER 0314'!D19</f>
        <v>4.2061419506315159E-2</v>
      </c>
      <c r="C5" s="16">
        <f>'LIDC-0002 LIDC-RIDER 0325'!$D$19</f>
        <v>0.12764819513566972</v>
      </c>
      <c r="D5" s="16">
        <f>'LIDC-0003 LIDC-RIDER 0580'!$D$19</f>
        <v>0.17251512172906502</v>
      </c>
      <c r="E5" s="16">
        <f>'LIDC-0004 LIDC-RIDER 0766'!$D$19</f>
        <v>5.3854735744691559E-2</v>
      </c>
      <c r="F5" s="16">
        <f>'LIDC-0005 LIDC-RIDER 0771'!$D$19</f>
        <v>6.8676453220494524E-2</v>
      </c>
      <c r="G5" s="16">
        <f>'LIDC-0006 LIDC-RIDER 0811'!$D$19</f>
        <v>1.068551787653094E-2</v>
      </c>
      <c r="H5" s="16">
        <f>'LIDC-0007 LIDC-RIDER 0905'!$D$19</f>
        <v>0.13475386627461475</v>
      </c>
      <c r="I5" s="16">
        <f>'LIDC-0008 LIDC-RIDER 0963'!$D$19</f>
        <v>5.9008577427705482E-2</v>
      </c>
      <c r="J5" s="16">
        <f>'LIDC-0009 LIDC-RIDER 0965'!$D$19</f>
        <v>4.8730813194979926E-2</v>
      </c>
      <c r="K5" s="16">
        <f>'LIDC-0010 LIDC-RIDER 1012'!$D$19</f>
        <v>0.12611663375695001</v>
      </c>
      <c r="L5" s="42">
        <f t="shared" si="0"/>
        <v>8.440513338670172E-2</v>
      </c>
      <c r="M5" s="14">
        <f t="shared" si="1"/>
        <v>5.1891027665247419E-2</v>
      </c>
      <c r="O5" s="13"/>
    </row>
    <row r="6" spans="1:15" s="9" customFormat="1" x14ac:dyDescent="0.2">
      <c r="A6" s="7" t="s">
        <v>20</v>
      </c>
      <c r="B6" s="16">
        <f>'LIDC-0001 LIDC-RIDER 0314'!E19</f>
        <v>1.9689504014460953E-2</v>
      </c>
      <c r="C6" s="16">
        <f>'LIDC-0002 LIDC-RIDER 0325'!$E$19</f>
        <v>1.0449546145531511E-2</v>
      </c>
      <c r="D6" s="16">
        <f>'LIDC-0003 LIDC-RIDER 0580'!$E$19</f>
        <v>7.5875241993834969E-2</v>
      </c>
      <c r="E6" s="16">
        <f>'LIDC-0004 LIDC-RIDER 0766'!$E$19</f>
        <v>3.2513366869231022E-2</v>
      </c>
      <c r="F6" s="16">
        <f>'LIDC-0005 LIDC-RIDER 0771'!$E$19</f>
        <v>3.161046437829515E-2</v>
      </c>
      <c r="G6" s="16">
        <f>'LIDC-0006 LIDC-RIDER 0811'!$E$19</f>
        <v>1.0678197013012753E-2</v>
      </c>
      <c r="H6" s="16">
        <f>'LIDC-0007 LIDC-RIDER 0905'!$E$19</f>
        <v>2.4928883309615651E-2</v>
      </c>
      <c r="I6" s="16">
        <f>'LIDC-0008 LIDC-RIDER 0963'!$E$19</f>
        <v>6.9961627213880162E-2</v>
      </c>
      <c r="J6" s="16">
        <f>'LIDC-0009 LIDC-RIDER 0965'!$E$19</f>
        <v>2.4242712156115457E-2</v>
      </c>
      <c r="K6" s="16">
        <f>'LIDC-0010 LIDC-RIDER 1012'!$E$19</f>
        <v>2.6931373926735967E-2</v>
      </c>
      <c r="L6" s="42">
        <f t="shared" si="0"/>
        <v>3.2688091702071362E-2</v>
      </c>
      <c r="M6" s="14">
        <f t="shared" si="1"/>
        <v>2.2529633359825666E-2</v>
      </c>
      <c r="O6" s="13"/>
    </row>
    <row r="7" spans="1:15" s="9" customFormat="1" x14ac:dyDescent="0.2">
      <c r="A7" s="7" t="s">
        <v>5</v>
      </c>
      <c r="B7" s="16">
        <f>'LIDC-0001 LIDC-RIDER 0314'!F19</f>
        <v>0.12805347770967568</v>
      </c>
      <c r="C7" s="16">
        <f>'LIDC-0002 LIDC-RIDER 0325'!$F$19</f>
        <v>0.16246500962455301</v>
      </c>
      <c r="D7" s="16">
        <f>'LIDC-0003 LIDC-RIDER 0580'!$F$19</f>
        <v>0.14335157017213893</v>
      </c>
      <c r="E7" s="16">
        <f>'LIDC-0004 LIDC-RIDER 0766'!$F$19</f>
        <v>0.20959627201337661</v>
      </c>
      <c r="F7" s="16">
        <f>'LIDC-0005 LIDC-RIDER 0771'!$F$19</f>
        <v>0.14040898673571861</v>
      </c>
      <c r="G7" s="16">
        <f>'LIDC-0006 LIDC-RIDER 0811'!$F$19</f>
        <v>0.21324933961921835</v>
      </c>
      <c r="H7" s="16">
        <f>'LIDC-0007 LIDC-RIDER 0905'!$F$19</f>
        <v>0.13037711527134471</v>
      </c>
      <c r="I7" s="16">
        <f>'LIDC-0008 LIDC-RIDER 0963'!$F$19</f>
        <v>0.20110789804239343</v>
      </c>
      <c r="J7" s="16">
        <f>'LIDC-0009 LIDC-RIDER 0965'!$F$19</f>
        <v>0.14984539983279388</v>
      </c>
      <c r="K7" s="16">
        <f>'LIDC-0010 LIDC-RIDER 1012'!$F$19</f>
        <v>0.21106582599747431</v>
      </c>
      <c r="L7" s="42">
        <f t="shared" si="0"/>
        <v>0.16895208950186874</v>
      </c>
      <c r="M7" s="14">
        <f t="shared" si="1"/>
        <v>3.568337139782185E-2</v>
      </c>
      <c r="O7" s="13"/>
    </row>
    <row r="8" spans="1:15" s="9" customFormat="1" x14ac:dyDescent="0.2">
      <c r="A8" s="7" t="s">
        <v>21</v>
      </c>
      <c r="B8" s="16">
        <f>'LIDC-0001 LIDC-RIDER 0314'!G19</f>
        <v>9.5022697610751839E-8</v>
      </c>
      <c r="C8" s="16">
        <f>'LIDC-0002 LIDC-RIDER 0325'!$G$19</f>
        <v>-2.1683677390451289E-7</v>
      </c>
      <c r="D8" s="16">
        <f>'LIDC-0003 LIDC-RIDER 0580'!$G$19</f>
        <v>-6.2602572471524219E-7</v>
      </c>
      <c r="E8" s="16">
        <f>'LIDC-0004 LIDC-RIDER 0766'!$G$19</f>
        <v>4.5877017594359049E-7</v>
      </c>
      <c r="F8" s="16">
        <f>'LIDC-0005 LIDC-RIDER 0771'!$G$19</f>
        <v>-2.8448453769238168E-7</v>
      </c>
      <c r="G8" s="16">
        <f>'LIDC-0006 LIDC-RIDER 0811'!$G$19</f>
        <v>-2.4710718955044173E-7</v>
      </c>
      <c r="H8" s="16">
        <f>'LIDC-0007 LIDC-RIDER 0905'!$G$19</f>
        <v>-9.0588641574959561E-7</v>
      </c>
      <c r="I8" s="16">
        <f>'LIDC-0008 LIDC-RIDER 0963'!$G$19</f>
        <v>-9.7206057304362219E-7</v>
      </c>
      <c r="J8" s="16">
        <f>'LIDC-0009 LIDC-RIDER 0965'!$G$19</f>
        <v>-6.8435025505177937E-7</v>
      </c>
      <c r="K8" s="16">
        <f>'LIDC-0010 LIDC-RIDER 1012'!$G$19</f>
        <v>-2.7955860598881903E-7</v>
      </c>
      <c r="L8" s="42">
        <f t="shared" si="0"/>
        <v>-3.6625172021420519E-7</v>
      </c>
      <c r="M8" s="14">
        <f t="shared" si="1"/>
        <v>4.4360094846499787E-7</v>
      </c>
      <c r="O8" s="13"/>
    </row>
    <row r="9" spans="1:15" s="9" customFormat="1" x14ac:dyDescent="0.2">
      <c r="A9" s="7" t="s">
        <v>22</v>
      </c>
      <c r="B9" s="16">
        <f>'LIDC-0001 LIDC-RIDER 0314'!H19</f>
        <v>8.5268333188671475E-5</v>
      </c>
      <c r="C9" s="16">
        <f>'LIDC-0002 LIDC-RIDER 0325'!$H$19</f>
        <v>9.0733421322863357E-5</v>
      </c>
      <c r="D9" s="16">
        <f>'LIDC-0003 LIDC-RIDER 0580'!$H$19</f>
        <v>2.4184985624130474E-3</v>
      </c>
      <c r="E9" s="16">
        <f>'LIDC-0004 LIDC-RIDER 0766'!$H$19</f>
        <v>4.1424792250685966E-4</v>
      </c>
      <c r="F9" s="16">
        <f>'LIDC-0005 LIDC-RIDER 0771'!$H$19</f>
        <v>3.9652828679407416E-4</v>
      </c>
      <c r="G9" s="16">
        <f>'LIDC-0006 LIDC-RIDER 0811'!$H$19</f>
        <v>2.5240108822163085E-5</v>
      </c>
      <c r="H9" s="16">
        <f>'LIDC-0007 LIDC-RIDER 0905'!$H$19</f>
        <v>1.0966492451979401E-4</v>
      </c>
      <c r="I9" s="16">
        <f>'LIDC-0008 LIDC-RIDER 0963'!$H$19</f>
        <v>2.2691055113100858E-3</v>
      </c>
      <c r="J9" s="16">
        <f>'LIDC-0009 LIDC-RIDER 0965'!$H$19</f>
        <v>1.5316538394813807E-4</v>
      </c>
      <c r="K9" s="16">
        <f>'LIDC-0010 LIDC-RIDER 1012'!$H$19</f>
        <v>1.0405724365033372E-3</v>
      </c>
      <c r="L9" s="42">
        <f t="shared" si="0"/>
        <v>7.0030248913290343E-4</v>
      </c>
      <c r="M9" s="14">
        <f t="shared" si="1"/>
        <v>9.163328307338842E-4</v>
      </c>
      <c r="O9" s="13"/>
    </row>
    <row r="10" spans="1:15" s="9" customFormat="1" x14ac:dyDescent="0.2">
      <c r="A10" s="7" t="s">
        <v>23</v>
      </c>
      <c r="B10" s="16">
        <f>'LIDC-0001 LIDC-RIDER 0314'!$I$19</f>
        <v>7.1491783171049239E-4</v>
      </c>
      <c r="C10" s="16">
        <f>'LIDC-0002 LIDC-RIDER 0325'!$I$19</f>
        <v>1.167164197085473E-3</v>
      </c>
      <c r="D10" s="16">
        <f>'LIDC-0003 LIDC-RIDER 0580'!$I$19</f>
        <v>-2.1967675862054802E-2</v>
      </c>
      <c r="E10" s="16">
        <f>'LIDC-0004 LIDC-RIDER 0766'!$I$19</f>
        <v>-2.3684498975162865E-3</v>
      </c>
      <c r="F10" s="16">
        <f>'LIDC-0005 LIDC-RIDER 0771'!$I$19</f>
        <v>-2.5994696295368511E-3</v>
      </c>
      <c r="G10" s="16">
        <f>'LIDC-0006 LIDC-RIDER 0811'!$I$19</f>
        <v>5.277953264536347E-4</v>
      </c>
      <c r="H10" s="16">
        <f>'LIDC-0007 LIDC-RIDER 0905'!$I$19</f>
        <v>1.1846985887737601E-3</v>
      </c>
      <c r="I10" s="16">
        <f>'LIDC-0008 LIDC-RIDER 0963'!$I$19</f>
        <v>-1.0410498615513731E-2</v>
      </c>
      <c r="J10" s="16">
        <f>'LIDC-0009 LIDC-RIDER 0965'!$I$19</f>
        <v>-1.6613161031199144E-3</v>
      </c>
      <c r="K10" s="16">
        <f>'LIDC-0010 LIDC-RIDER 1012'!$I$19</f>
        <v>-8.4923678311035079E-3</v>
      </c>
      <c r="L10" s="42">
        <f t="shared" si="0"/>
        <v>-4.3905201994821723E-3</v>
      </c>
      <c r="M10" s="14">
        <f t="shared" si="1"/>
        <v>7.3710629886997239E-3</v>
      </c>
      <c r="O10" s="13"/>
    </row>
    <row r="11" spans="1:15" s="9" customFormat="1" x14ac:dyDescent="0.2">
      <c r="A11" s="7" t="s">
        <v>9</v>
      </c>
      <c r="B11" s="16">
        <f>'LIDC-0001 LIDC-RIDER 0314'!J19</f>
        <v>0.41796834330954397</v>
      </c>
      <c r="C11" s="16">
        <f>'LIDC-0002 LIDC-RIDER 0325'!$J$19</f>
        <v>0.38545511682072325</v>
      </c>
      <c r="D11" s="16">
        <f>'LIDC-0003 LIDC-RIDER 0580'!$J$19</f>
        <v>0.30892438511960596</v>
      </c>
      <c r="E11" s="16">
        <f>'LIDC-0004 LIDC-RIDER 0766'!$J$19</f>
        <v>0.43569678513543741</v>
      </c>
      <c r="F11" s="16">
        <f>'LIDC-0005 LIDC-RIDER 0771'!$J$19</f>
        <v>0.33926163902944306</v>
      </c>
      <c r="G11" s="16">
        <f>'LIDC-0006 LIDC-RIDER 0811'!$J$19</f>
        <v>0.37075864346055537</v>
      </c>
      <c r="H11" s="16">
        <f>'LIDC-0007 LIDC-RIDER 0905'!$J$19</f>
        <v>0.39367002954476066</v>
      </c>
      <c r="I11" s="16">
        <f>'LIDC-0008 LIDC-RIDER 0963'!$J$19</f>
        <v>0.29984992334615546</v>
      </c>
      <c r="J11" s="16">
        <f>'LIDC-0009 LIDC-RIDER 0965'!$J$19</f>
        <v>0.35696576637116173</v>
      </c>
      <c r="K11" s="16">
        <f>'LIDC-0010 LIDC-RIDER 1012'!$J$19</f>
        <v>0.31547882350726553</v>
      </c>
      <c r="L11" s="42">
        <f t="shared" si="0"/>
        <v>0.36240294556446528</v>
      </c>
      <c r="M11" s="14">
        <f t="shared" si="1"/>
        <v>4.6640640844747838E-2</v>
      </c>
      <c r="O11" s="13"/>
    </row>
    <row r="13" spans="1:15" x14ac:dyDescent="0.2">
      <c r="B13" s="6"/>
      <c r="C13" s="6"/>
      <c r="D13" s="8"/>
      <c r="E13" s="8"/>
      <c r="F13" s="8"/>
      <c r="G13" s="8"/>
      <c r="H13" s="8"/>
      <c r="I13" s="8"/>
      <c r="J13" s="8"/>
    </row>
    <row r="14" spans="1:15" x14ac:dyDescent="0.2">
      <c r="B14" s="43"/>
      <c r="C14" s="12"/>
      <c r="D14" s="12"/>
      <c r="E14" s="12"/>
      <c r="F14" s="12"/>
      <c r="G14" s="12"/>
      <c r="H14" s="12"/>
      <c r="I14" s="12"/>
      <c r="J14" s="12"/>
    </row>
    <row r="16" spans="1:15" x14ac:dyDescent="0.2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7" x14ac:dyDescent="0.2">
      <c r="B17" s="31"/>
    </row>
    <row r="18" spans="1:17" x14ac:dyDescent="0.2">
      <c r="B18" s="31"/>
    </row>
    <row r="19" spans="1:17" x14ac:dyDescent="0.2">
      <c r="B19" s="31"/>
    </row>
    <row r="20" spans="1:17" x14ac:dyDescent="0.2">
      <c r="B20" s="31"/>
    </row>
    <row r="21" spans="1:17" x14ac:dyDescent="0.2">
      <c r="B21" s="31"/>
    </row>
    <row r="22" spans="1:17" x14ac:dyDescent="0.2">
      <c r="B22" s="31"/>
    </row>
    <row r="23" spans="1:17" x14ac:dyDescent="0.2">
      <c r="B23" s="31"/>
    </row>
    <row r="24" spans="1:17" x14ac:dyDescent="0.2">
      <c r="B24" s="31"/>
    </row>
    <row r="25" spans="1:17" s="11" customFormat="1" x14ac:dyDescent="0.2">
      <c r="A25" s="18"/>
      <c r="B25" s="31"/>
      <c r="L25"/>
      <c r="M25"/>
      <c r="N25"/>
      <c r="O25"/>
      <c r="P25"/>
      <c r="Q25"/>
    </row>
    <row r="26" spans="1:17" s="11" customFormat="1" x14ac:dyDescent="0.2">
      <c r="A26" s="18"/>
      <c r="B26" s="31"/>
      <c r="L26"/>
      <c r="M26"/>
      <c r="N26"/>
      <c r="O26"/>
      <c r="P26"/>
      <c r="Q26"/>
    </row>
    <row r="27" spans="1:17" s="11" customFormat="1" x14ac:dyDescent="0.2">
      <c r="A27" s="18"/>
      <c r="B27" s="44"/>
      <c r="L27"/>
      <c r="M27"/>
      <c r="N27"/>
      <c r="O27"/>
      <c r="P27"/>
      <c r="Q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J21"/>
  <sheetViews>
    <sheetView tabSelected="1" zoomScale="90" zoomScaleNormal="90" workbookViewId="0"/>
  </sheetViews>
  <sheetFormatPr baseColWidth="10" defaultColWidth="8.83203125" defaultRowHeight="15" x14ac:dyDescent="0.2"/>
  <cols>
    <col min="1" max="1" width="33.83203125" customWidth="1"/>
    <col min="2" max="2" width="15.1640625" customWidth="1"/>
    <col min="3" max="3" width="13.5" customWidth="1"/>
    <col min="4" max="4" width="17.1640625" customWidth="1"/>
    <col min="5" max="5" width="17.83203125" customWidth="1"/>
    <col min="6" max="6" width="13.1640625" customWidth="1"/>
    <col min="7" max="7" width="14" customWidth="1"/>
    <col min="8" max="8" width="12.83203125" customWidth="1"/>
    <col min="9" max="9" width="15.5" customWidth="1"/>
    <col min="10" max="10" width="13.33203125" customWidth="1"/>
  </cols>
  <sheetData>
    <row r="1" spans="1:10" s="18" customFormat="1" ht="16" x14ac:dyDescent="0.2">
      <c r="A1" s="36" t="s">
        <v>0</v>
      </c>
      <c r="B1" s="6" t="s">
        <v>1</v>
      </c>
      <c r="C1" s="6" t="s">
        <v>2</v>
      </c>
      <c r="D1" s="72" t="s">
        <v>3</v>
      </c>
      <c r="E1" s="7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s="18" customFormat="1" ht="17" x14ac:dyDescent="0.2">
      <c r="A2" s="36"/>
      <c r="B2" s="6" t="s">
        <v>50</v>
      </c>
      <c r="C2" s="6" t="s">
        <v>51</v>
      </c>
      <c r="D2" s="6" t="s">
        <v>12</v>
      </c>
      <c r="E2" s="6" t="s">
        <v>12</v>
      </c>
      <c r="F2" s="6" t="s">
        <v>13</v>
      </c>
      <c r="G2" s="6" t="s">
        <v>14</v>
      </c>
      <c r="H2" s="6" t="s">
        <v>14</v>
      </c>
      <c r="I2" s="6" t="s">
        <v>13</v>
      </c>
      <c r="J2" s="6" t="s">
        <v>13</v>
      </c>
    </row>
    <row r="3" spans="1:10" s="18" customFormat="1" x14ac:dyDescent="0.2">
      <c r="A3" s="23" t="s">
        <v>10</v>
      </c>
      <c r="B3" s="61">
        <v>1838.3788999999999</v>
      </c>
      <c r="C3" s="61">
        <v>899.24590000000001</v>
      </c>
      <c r="D3" s="60">
        <v>17.1342</v>
      </c>
      <c r="E3" s="60">
        <v>19.372599999999998</v>
      </c>
      <c r="F3" s="47">
        <v>0.80703999999999998</v>
      </c>
      <c r="G3" s="60">
        <v>9.8672000000000004</v>
      </c>
      <c r="H3" s="60">
        <v>146.31780000000001</v>
      </c>
      <c r="I3" s="59">
        <v>4.5701999999999998</v>
      </c>
      <c r="J3" s="59">
        <v>2.0718000000000001</v>
      </c>
    </row>
    <row r="4" spans="1:10" s="18" customFormat="1" x14ac:dyDescent="0.2">
      <c r="A4" s="23" t="s">
        <v>11</v>
      </c>
      <c r="B4" s="61">
        <v>1838.3789059999999</v>
      </c>
      <c r="C4" s="61">
        <v>902.5897387</v>
      </c>
      <c r="D4" s="60">
        <v>17.849468219999999</v>
      </c>
      <c r="E4" s="60">
        <v>20.13792772</v>
      </c>
      <c r="F4" s="47">
        <v>0.80055489700000004</v>
      </c>
      <c r="G4" s="60">
        <v>9.8671978750000005</v>
      </c>
      <c r="H4" s="51">
        <v>146.29354425264296</v>
      </c>
      <c r="I4" s="59">
        <v>4.5701785939999997</v>
      </c>
      <c r="J4" s="59">
        <v>5.9261138950000003</v>
      </c>
    </row>
    <row r="5" spans="1:10" s="18" customFormat="1" x14ac:dyDescent="0.2">
      <c r="A5" s="23" t="s">
        <v>54</v>
      </c>
      <c r="B5" s="62">
        <v>1838.3788999999999</v>
      </c>
      <c r="C5" s="62">
        <v>1215.1367</v>
      </c>
      <c r="D5" s="51">
        <v>16.7195</v>
      </c>
      <c r="E5" s="51">
        <v>19.544799999999999</v>
      </c>
      <c r="F5" s="48">
        <v>0.59723999999999999</v>
      </c>
      <c r="G5" s="51">
        <v>9.8672000000000004</v>
      </c>
      <c r="H5" s="51">
        <v>146.29349999999999</v>
      </c>
      <c r="I5" s="54">
        <v>4.5701999999999998</v>
      </c>
      <c r="J5" s="54">
        <v>9.8305000000000007</v>
      </c>
    </row>
    <row r="6" spans="1:10" s="18" customFormat="1" x14ac:dyDescent="0.2">
      <c r="A6" s="23" t="s">
        <v>55</v>
      </c>
      <c r="B6" s="53">
        <v>1838.37890625</v>
      </c>
      <c r="C6" s="53">
        <v>902.58973872608601</v>
      </c>
      <c r="D6" s="53">
        <v>17.849468216868502</v>
      </c>
      <c r="E6" s="53">
        <v>20.137927718921301</v>
      </c>
      <c r="F6" s="50">
        <v>0.800554896671412</v>
      </c>
      <c r="G6" s="53">
        <v>9.8671978751659992</v>
      </c>
      <c r="H6" s="53">
        <v>146.29354424818342</v>
      </c>
      <c r="I6" s="55">
        <v>4.5701785944514004</v>
      </c>
      <c r="J6" s="55">
        <v>5.9261138953721701</v>
      </c>
    </row>
    <row r="7" spans="1:10" s="18" customFormat="1" x14ac:dyDescent="0.2">
      <c r="A7" s="23" t="s">
        <v>56</v>
      </c>
      <c r="B7" s="62">
        <v>1838.3789999999999</v>
      </c>
      <c r="C7" s="62">
        <v>878.42240000000004</v>
      </c>
      <c r="D7" s="63" t="s">
        <v>52</v>
      </c>
      <c r="E7" s="51">
        <v>20.144890000000004</v>
      </c>
      <c r="F7" s="48">
        <v>0.82617200000000002</v>
      </c>
      <c r="G7" s="51">
        <v>9.8671980000000001</v>
      </c>
      <c r="H7" s="51">
        <v>146.293544</v>
      </c>
      <c r="I7" s="55">
        <v>4.5690660000000003</v>
      </c>
      <c r="J7" s="55">
        <v>6.377586</v>
      </c>
    </row>
    <row r="8" spans="1:10" s="18" customFormat="1" x14ac:dyDescent="0.2">
      <c r="A8" s="23" t="s">
        <v>57</v>
      </c>
      <c r="B8" s="51">
        <v>1838.3789059999999</v>
      </c>
      <c r="C8" s="63" t="s">
        <v>52</v>
      </c>
      <c r="D8" s="51">
        <v>17.134150160000001</v>
      </c>
      <c r="E8" s="51">
        <v>19.372630900000001</v>
      </c>
      <c r="F8" s="63" t="s">
        <v>52</v>
      </c>
      <c r="G8" s="51">
        <v>9.8671978750000005</v>
      </c>
      <c r="H8" s="51">
        <v>146.31783540000001</v>
      </c>
      <c r="I8" s="54">
        <v>4.5797689699999999</v>
      </c>
      <c r="J8" s="54">
        <v>2.7096611780000002</v>
      </c>
    </row>
    <row r="9" spans="1:10" s="18" customFormat="1" x14ac:dyDescent="0.2">
      <c r="A9" s="23" t="s">
        <v>58</v>
      </c>
      <c r="B9" s="51">
        <v>1838.38</v>
      </c>
      <c r="C9" s="51">
        <v>902.59</v>
      </c>
      <c r="D9" s="51">
        <v>19.372599999999998</v>
      </c>
      <c r="E9" s="51">
        <v>19.372599999999998</v>
      </c>
      <c r="F9" s="48">
        <v>0.80056000000000005</v>
      </c>
      <c r="G9" s="51">
        <v>9.8672000000000004</v>
      </c>
      <c r="H9" s="51">
        <v>146.29400000000001</v>
      </c>
      <c r="I9" s="54">
        <v>4.5701999999999998</v>
      </c>
      <c r="J9" s="54">
        <v>5.9493</v>
      </c>
    </row>
    <row r="10" spans="1:10" s="18" customFormat="1" x14ac:dyDescent="0.2">
      <c r="A10" s="23" t="s">
        <v>59</v>
      </c>
      <c r="B10" s="52">
        <v>1838.3789059999999</v>
      </c>
      <c r="C10" s="52">
        <v>685.53025000000002</v>
      </c>
      <c r="D10" s="52">
        <v>17.134150000000002</v>
      </c>
      <c r="E10" s="52">
        <v>19.372630999999998</v>
      </c>
      <c r="F10" s="49">
        <v>1.029498</v>
      </c>
      <c r="G10" s="52">
        <v>9.8671980000000001</v>
      </c>
      <c r="H10" s="52">
        <v>146.317835</v>
      </c>
      <c r="I10" s="56">
        <v>4.5701790000000004</v>
      </c>
      <c r="J10" s="56">
        <v>3.9377849999999999</v>
      </c>
    </row>
    <row r="11" spans="1:10" s="18" customFormat="1" x14ac:dyDescent="0.2">
      <c r="A11" s="23" t="s">
        <v>61</v>
      </c>
      <c r="B11" s="64">
        <v>1838.3789059999999</v>
      </c>
      <c r="C11" s="64">
        <v>780.46875</v>
      </c>
      <c r="D11" s="64">
        <v>17.134150000000002</v>
      </c>
      <c r="E11" s="64">
        <v>19.372630999999998</v>
      </c>
      <c r="F11" s="65">
        <v>0.92986199999999997</v>
      </c>
      <c r="G11" s="64">
        <v>9.8671980000000001</v>
      </c>
      <c r="H11" s="64">
        <v>146.29354900000001</v>
      </c>
      <c r="I11" s="66">
        <v>4.5701790000000004</v>
      </c>
      <c r="J11" s="66">
        <v>6.8569040000000001</v>
      </c>
    </row>
    <row r="12" spans="1:10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7" t="s">
        <v>52</v>
      </c>
      <c r="G12" s="63" t="s">
        <v>52</v>
      </c>
      <c r="H12" s="63" t="s">
        <v>52</v>
      </c>
      <c r="I12" s="68" t="s">
        <v>52</v>
      </c>
      <c r="J12" s="55">
        <v>2.9253200992910702</v>
      </c>
    </row>
    <row r="13" spans="1:10" x14ac:dyDescent="0.2">
      <c r="A13" s="23" t="s">
        <v>62</v>
      </c>
      <c r="B13" s="53">
        <v>1838.37890625</v>
      </c>
      <c r="C13" s="53">
        <v>902.58973872608601</v>
      </c>
      <c r="D13" s="57">
        <v>17.849468216868502</v>
      </c>
      <c r="E13" s="53">
        <v>20.137927718921301</v>
      </c>
      <c r="F13" s="50">
        <v>0.800554896671412</v>
      </c>
      <c r="G13" s="53">
        <v>9.8671978751659992</v>
      </c>
      <c r="H13" s="58">
        <v>146.29354424818342</v>
      </c>
      <c r="I13" s="55">
        <v>4.5701785944514004</v>
      </c>
      <c r="J13" s="68" t="s">
        <v>52</v>
      </c>
    </row>
    <row r="14" spans="1:10" x14ac:dyDescent="0.2">
      <c r="A14" s="23" t="s">
        <v>63</v>
      </c>
      <c r="B14" s="53">
        <v>1838.3788999999999</v>
      </c>
      <c r="C14" s="53">
        <v>902.58972000000006</v>
      </c>
      <c r="D14" s="53">
        <v>16.86487</v>
      </c>
      <c r="E14" s="53">
        <v>20.137927999999999</v>
      </c>
      <c r="F14" s="50">
        <v>0.80055487000000003</v>
      </c>
      <c r="G14" s="53">
        <v>9.8671980000000001</v>
      </c>
      <c r="H14" s="53">
        <v>146.31783999999999</v>
      </c>
      <c r="I14" s="55">
        <v>4.5701784999999999</v>
      </c>
      <c r="J14" s="55">
        <v>7.5542121</v>
      </c>
    </row>
    <row r="15" spans="1:10" x14ac:dyDescent="0.2">
      <c r="A15" s="23" t="s">
        <v>64</v>
      </c>
      <c r="B15" s="52">
        <v>1838.3789059999999</v>
      </c>
      <c r="C15" s="52">
        <v>819.35828349999997</v>
      </c>
      <c r="D15" s="52">
        <v>17.50589278</v>
      </c>
      <c r="E15" s="63" t="s">
        <v>52</v>
      </c>
      <c r="F15" s="49">
        <v>0.8857278381</v>
      </c>
      <c r="G15" s="52">
        <v>9.8671978750000005</v>
      </c>
      <c r="H15" s="52">
        <v>146.31783540000001</v>
      </c>
      <c r="I15" s="56">
        <v>4.5651527500000002</v>
      </c>
      <c r="J15" s="56">
        <v>4.4871533780000004</v>
      </c>
    </row>
    <row r="16" spans="1:10" x14ac:dyDescent="0.2">
      <c r="A16" s="37"/>
      <c r="B16" s="33"/>
      <c r="C16" s="33"/>
      <c r="D16" s="34"/>
      <c r="E16" s="33"/>
      <c r="F16" s="33"/>
      <c r="G16" s="33"/>
      <c r="H16" s="24"/>
      <c r="I16" s="33"/>
      <c r="J16" s="33"/>
    </row>
    <row r="17" spans="1:10" x14ac:dyDescent="0.2">
      <c r="A17" s="23" t="s">
        <v>15</v>
      </c>
      <c r="B17" s="69">
        <f t="shared" ref="B17:J17" si="0">AVERAGE(B3:B15)</f>
        <v>1838.3790035416666</v>
      </c>
      <c r="C17" s="69">
        <f t="shared" si="0"/>
        <v>890.10101996837921</v>
      </c>
      <c r="D17" s="69">
        <f t="shared" si="0"/>
        <v>17.504356144885183</v>
      </c>
      <c r="E17" s="69">
        <f t="shared" si="0"/>
        <v>19.736772187076603</v>
      </c>
      <c r="F17" s="35">
        <f t="shared" si="0"/>
        <v>0.82530176349480222</v>
      </c>
      <c r="G17" s="69">
        <f t="shared" si="0"/>
        <v>9.8671984479443342</v>
      </c>
      <c r="H17" s="69">
        <f t="shared" si="0"/>
        <v>146.30369762908416</v>
      </c>
      <c r="I17" s="70">
        <f t="shared" si="0"/>
        <v>4.570471666908567</v>
      </c>
      <c r="J17" s="70">
        <f t="shared" si="0"/>
        <v>5.3793707954719361</v>
      </c>
    </row>
    <row r="18" spans="1:10" x14ac:dyDescent="0.2">
      <c r="A18" s="23" t="s">
        <v>53</v>
      </c>
      <c r="B18" s="70">
        <f t="shared" ref="B18:J18" si="1">STDEV(B3:B15)</f>
        <v>3.1501913426886587E-4</v>
      </c>
      <c r="C18" s="70">
        <f t="shared" si="1"/>
        <v>128.65497585961148</v>
      </c>
      <c r="D18" s="70">
        <f t="shared" si="1"/>
        <v>0.73625806699796126</v>
      </c>
      <c r="E18" s="70">
        <f t="shared" si="1"/>
        <v>0.38860725520994605</v>
      </c>
      <c r="F18" s="35">
        <f t="shared" si="1"/>
        <v>0.10568276097543768</v>
      </c>
      <c r="G18" s="70">
        <f t="shared" si="1"/>
        <v>9.376078143842944E-7</v>
      </c>
      <c r="H18" s="70">
        <f t="shared" si="1"/>
        <v>1.2475072436171393E-2</v>
      </c>
      <c r="I18" s="35">
        <f t="shared" si="1"/>
        <v>3.2675116940005127E-3</v>
      </c>
      <c r="J18" s="35">
        <f t="shared" si="1"/>
        <v>2.2484066994311487</v>
      </c>
    </row>
    <row r="19" spans="1:10" x14ac:dyDescent="0.2">
      <c r="A19" s="23" t="s">
        <v>24</v>
      </c>
      <c r="B19" s="14">
        <f t="shared" ref="B19:J19" si="2">B18/B17</f>
        <v>1.7135701270628985E-7</v>
      </c>
      <c r="C19" s="14">
        <f t="shared" si="2"/>
        <v>0.14453974658312596</v>
      </c>
      <c r="D19" s="14">
        <f t="shared" si="2"/>
        <v>4.2061419506315159E-2</v>
      </c>
      <c r="E19" s="14">
        <f t="shared" si="2"/>
        <v>1.9689504014460953E-2</v>
      </c>
      <c r="F19" s="14">
        <f t="shared" si="2"/>
        <v>0.12805347770967568</v>
      </c>
      <c r="G19" s="14">
        <f t="shared" si="2"/>
        <v>9.5022697610751839E-8</v>
      </c>
      <c r="H19" s="14">
        <f t="shared" si="2"/>
        <v>8.5268333188671475E-5</v>
      </c>
      <c r="I19" s="14">
        <f t="shared" si="2"/>
        <v>7.1491783171049239E-4</v>
      </c>
      <c r="J19" s="14">
        <f t="shared" si="2"/>
        <v>0.41796834330954397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C21" s="1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XFC21"/>
  <sheetViews>
    <sheetView zoomScale="90" zoomScaleNormal="90" workbookViewId="0">
      <selection activeCell="F15" sqref="F15"/>
    </sheetView>
  </sheetViews>
  <sheetFormatPr baseColWidth="10" defaultColWidth="8.83203125" defaultRowHeight="15" x14ac:dyDescent="0.2"/>
  <cols>
    <col min="1" max="1" width="33.83203125" customWidth="1"/>
    <col min="2" max="2" width="14" customWidth="1"/>
    <col min="3" max="3" width="14.5" customWidth="1"/>
    <col min="4" max="4" width="18.5" customWidth="1"/>
    <col min="5" max="5" width="18.1640625" customWidth="1"/>
    <col min="6" max="6" width="14.5" customWidth="1"/>
    <col min="7" max="7" width="14.33203125" customWidth="1"/>
    <col min="8" max="8" width="16.33203125" customWidth="1"/>
    <col min="9" max="9" width="16.6640625" customWidth="1"/>
    <col min="10" max="10" width="15.5" customWidth="1"/>
  </cols>
  <sheetData>
    <row r="1" spans="1:16383" ht="26.75" customHeight="1" x14ac:dyDescent="0.2">
      <c r="A1" s="33" t="s">
        <v>0</v>
      </c>
      <c r="B1" s="81" t="s">
        <v>1</v>
      </c>
      <c r="C1" s="81" t="s">
        <v>2</v>
      </c>
      <c r="D1" s="103" t="s">
        <v>3</v>
      </c>
      <c r="E1" s="103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</row>
    <row r="2" spans="1:16383" ht="17" x14ac:dyDescent="0.2">
      <c r="A2" s="33"/>
      <c r="B2" s="81" t="s">
        <v>50</v>
      </c>
      <c r="C2" s="81" t="s">
        <v>51</v>
      </c>
      <c r="D2" s="81" t="s">
        <v>12</v>
      </c>
      <c r="E2" s="81" t="s">
        <v>12</v>
      </c>
      <c r="F2" s="81" t="s">
        <v>13</v>
      </c>
      <c r="G2" s="81" t="s">
        <v>14</v>
      </c>
      <c r="H2" s="81" t="s">
        <v>14</v>
      </c>
      <c r="I2" s="81" t="s">
        <v>13</v>
      </c>
      <c r="J2" s="81" t="s">
        <v>13</v>
      </c>
    </row>
    <row r="3" spans="1:16383" s="18" customFormat="1" x14ac:dyDescent="0.2">
      <c r="A3" s="33" t="s">
        <v>10</v>
      </c>
      <c r="B3" s="87">
        <v>1869.5625</v>
      </c>
      <c r="C3" s="87">
        <v>1324.136</v>
      </c>
      <c r="D3" s="87">
        <v>23.618500000000001</v>
      </c>
      <c r="E3" s="87">
        <v>34.447699999999998</v>
      </c>
      <c r="F3" s="28">
        <v>0.55425999999999997</v>
      </c>
      <c r="G3" s="87">
        <v>-26.697399999999998</v>
      </c>
      <c r="H3" s="87">
        <v>179.4862</v>
      </c>
      <c r="I3" s="84">
        <v>1.7060999999999999</v>
      </c>
      <c r="J3" s="84">
        <v>2.6882999999999999</v>
      </c>
    </row>
    <row r="4" spans="1:16383" s="18" customFormat="1" x14ac:dyDescent="0.2">
      <c r="A4" s="33" t="s">
        <v>11</v>
      </c>
      <c r="B4" s="87">
        <v>1869.5625</v>
      </c>
      <c r="C4" s="87">
        <v>1329.315791</v>
      </c>
      <c r="D4" s="87">
        <v>25.279067430000001</v>
      </c>
      <c r="E4" s="87">
        <v>35.151735819999999</v>
      </c>
      <c r="F4" s="28">
        <v>0.54904469700000003</v>
      </c>
      <c r="G4" s="87">
        <v>-26.69738701</v>
      </c>
      <c r="H4" s="87">
        <v>179.45450501450222</v>
      </c>
      <c r="I4" s="84">
        <v>1.70608721</v>
      </c>
      <c r="J4" s="84">
        <v>8.026933713</v>
      </c>
    </row>
    <row r="5" spans="1:16383" s="18" customFormat="1" x14ac:dyDescent="0.2">
      <c r="A5" s="33" t="s">
        <v>54</v>
      </c>
      <c r="B5" s="87">
        <v>1869.5625</v>
      </c>
      <c r="C5" s="87">
        <v>1827.9219000000001</v>
      </c>
      <c r="D5" s="87">
        <v>23.5625</v>
      </c>
      <c r="E5" s="87">
        <v>34.698700000000002</v>
      </c>
      <c r="F5" s="28">
        <v>0.40150000000000002</v>
      </c>
      <c r="G5" s="87">
        <v>-26.697399999999998</v>
      </c>
      <c r="H5" s="87">
        <v>179.4545</v>
      </c>
      <c r="I5" s="84">
        <v>1.7060999999999999</v>
      </c>
      <c r="J5" s="84">
        <v>11.543699999999999</v>
      </c>
    </row>
    <row r="6" spans="1:16383" s="18" customFormat="1" x14ac:dyDescent="0.2">
      <c r="A6" s="33" t="s">
        <v>55</v>
      </c>
      <c r="B6" s="86">
        <v>1869.5625</v>
      </c>
      <c r="C6" s="86">
        <v>1329.31579059928</v>
      </c>
      <c r="D6" s="86">
        <v>25.279067427419001</v>
      </c>
      <c r="E6" s="86">
        <v>35.1517358212933</v>
      </c>
      <c r="F6" s="29">
        <v>0.54904469702690895</v>
      </c>
      <c r="G6" s="86">
        <v>-26.697387005649698</v>
      </c>
      <c r="H6" s="86">
        <v>179.45450501924799</v>
      </c>
      <c r="I6" s="83">
        <v>1.7060872102670901</v>
      </c>
      <c r="J6" s="83">
        <v>8.0269337128905391</v>
      </c>
    </row>
    <row r="7" spans="1:16383" s="18" customFormat="1" x14ac:dyDescent="0.2">
      <c r="A7" s="33" t="s">
        <v>56</v>
      </c>
      <c r="B7" s="87">
        <v>1869.5619999999999</v>
      </c>
      <c r="C7" s="87">
        <v>1435.6874</v>
      </c>
      <c r="D7" s="63" t="s">
        <v>52</v>
      </c>
      <c r="E7" s="87">
        <v>35.243400000000001</v>
      </c>
      <c r="F7" s="28">
        <v>0.51119199999999998</v>
      </c>
      <c r="G7" s="87">
        <v>-26.697386999999999</v>
      </c>
      <c r="H7" s="87">
        <v>179.45450500000001</v>
      </c>
      <c r="I7" s="83">
        <v>1.703595</v>
      </c>
      <c r="J7" s="83">
        <v>8.4478709999999992</v>
      </c>
    </row>
    <row r="8" spans="1:16383" s="18" customFormat="1" x14ac:dyDescent="0.2">
      <c r="A8" s="33" t="s">
        <v>57</v>
      </c>
      <c r="B8" s="87">
        <v>1869.5625</v>
      </c>
      <c r="C8" s="63" t="s">
        <v>52</v>
      </c>
      <c r="D8" s="87">
        <v>23.618468010000001</v>
      </c>
      <c r="E8" s="87">
        <v>34.447707200000004</v>
      </c>
      <c r="F8" s="63" t="s">
        <v>52</v>
      </c>
      <c r="G8" s="87">
        <v>-26.69738701</v>
      </c>
      <c r="H8" s="87">
        <v>179.48619679999999</v>
      </c>
      <c r="I8" s="84">
        <v>1.711224844</v>
      </c>
      <c r="J8" s="84">
        <v>3.7230588760000001</v>
      </c>
    </row>
    <row r="9" spans="1:16383" s="18" customFormat="1" x14ac:dyDescent="0.2">
      <c r="A9" s="33" t="s">
        <v>58</v>
      </c>
      <c r="B9" s="87">
        <v>1869.56</v>
      </c>
      <c r="C9" s="87">
        <v>1330.66</v>
      </c>
      <c r="D9" s="87">
        <v>34.447699999999998</v>
      </c>
      <c r="E9" s="87">
        <v>34.447699999999998</v>
      </c>
      <c r="F9" s="28">
        <v>0.54608999999999996</v>
      </c>
      <c r="G9" s="87">
        <v>-26.697399999999998</v>
      </c>
      <c r="H9" s="87">
        <v>179.45500000000001</v>
      </c>
      <c r="I9" s="84">
        <v>1.7060999999999999</v>
      </c>
      <c r="J9" s="84">
        <v>8.0412999999999997</v>
      </c>
    </row>
    <row r="10" spans="1:16383" s="18" customFormat="1" x14ac:dyDescent="0.2">
      <c r="A10" s="33" t="s">
        <v>59</v>
      </c>
      <c r="B10" s="86">
        <v>1869.5625</v>
      </c>
      <c r="C10" s="86">
        <v>898.29300000000001</v>
      </c>
      <c r="D10" s="86">
        <v>23.095589</v>
      </c>
      <c r="E10" s="86">
        <v>34.447707000000001</v>
      </c>
      <c r="F10" s="29">
        <v>0.77653399999999995</v>
      </c>
      <c r="G10" s="86">
        <v>-26.697386999999999</v>
      </c>
      <c r="H10" s="86">
        <v>179.486197</v>
      </c>
      <c r="I10" s="83">
        <v>1.7060869999999999</v>
      </c>
      <c r="J10" s="83">
        <v>5.6243809999999996</v>
      </c>
    </row>
    <row r="11" spans="1:16383" s="18" customFormat="1" x14ac:dyDescent="0.2">
      <c r="A11" s="23" t="s">
        <v>61</v>
      </c>
      <c r="B11" s="104">
        <v>1869.5625</v>
      </c>
      <c r="C11" s="104">
        <v>1133.4375</v>
      </c>
      <c r="D11" s="104">
        <v>23.618466999999999</v>
      </c>
      <c r="E11" s="104">
        <v>34.447707999999999</v>
      </c>
      <c r="F11" s="30">
        <v>0.64751000000000003</v>
      </c>
      <c r="G11" s="104">
        <v>-26.697388</v>
      </c>
      <c r="H11" s="104">
        <v>179.454498</v>
      </c>
      <c r="I11" s="105">
        <v>1.7060869999999999</v>
      </c>
      <c r="J11" s="105">
        <v>8.6998470000000001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83">
        <v>3.4094501247769999</v>
      </c>
    </row>
    <row r="13" spans="1:16383" x14ac:dyDescent="0.2">
      <c r="A13" s="33" t="s">
        <v>62</v>
      </c>
      <c r="B13" s="86">
        <v>1869.5625</v>
      </c>
      <c r="C13" s="86">
        <v>1329.31579059928</v>
      </c>
      <c r="D13" s="106">
        <v>25.279067427419001</v>
      </c>
      <c r="E13" s="86">
        <v>35.1517358212933</v>
      </c>
      <c r="F13" s="29">
        <v>0.54904469702690895</v>
      </c>
      <c r="G13" s="86">
        <v>-26.697387005649698</v>
      </c>
      <c r="H13" s="98">
        <v>179.45450501924799</v>
      </c>
      <c r="I13" s="83">
        <v>1.7060872102670901</v>
      </c>
      <c r="J13" s="68" t="s">
        <v>52</v>
      </c>
    </row>
    <row r="14" spans="1:16383" x14ac:dyDescent="0.2">
      <c r="A14" s="33" t="s">
        <v>63</v>
      </c>
      <c r="B14" s="86">
        <v>1869.5625</v>
      </c>
      <c r="C14" s="86">
        <v>1330.6648</v>
      </c>
      <c r="D14" s="86">
        <v>23.618466999999999</v>
      </c>
      <c r="E14" s="86">
        <v>35.151736999999997</v>
      </c>
      <c r="F14" s="29">
        <v>0.54608767999999996</v>
      </c>
      <c r="G14" s="86">
        <v>-26.697388</v>
      </c>
      <c r="H14" s="86">
        <v>179.48618999999999</v>
      </c>
      <c r="I14" s="83">
        <v>1.7060872</v>
      </c>
      <c r="J14" s="83">
        <v>9.1141194999999993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33" t="s">
        <v>64</v>
      </c>
      <c r="B15" s="86">
        <v>1869.5625</v>
      </c>
      <c r="C15" s="86">
        <v>1196.0480219999999</v>
      </c>
      <c r="D15" s="86">
        <v>26.3151704</v>
      </c>
      <c r="E15" s="63" t="s">
        <v>52</v>
      </c>
      <c r="F15" s="29">
        <v>0.6133254091</v>
      </c>
      <c r="G15" s="86">
        <v>-26.69738701</v>
      </c>
      <c r="H15" s="86">
        <v>179.48619679999999</v>
      </c>
      <c r="I15" s="83">
        <v>1.7027642890000001</v>
      </c>
      <c r="J15" s="83">
        <v>5.8797199009999996</v>
      </c>
    </row>
    <row r="16" spans="1:16383" x14ac:dyDescent="0.2">
      <c r="A16" s="37"/>
      <c r="B16" s="81"/>
      <c r="C16" s="81"/>
      <c r="D16" s="107"/>
      <c r="E16" s="81"/>
      <c r="F16" s="81"/>
      <c r="G16" s="81"/>
      <c r="H16" s="100"/>
      <c r="I16" s="81"/>
      <c r="J16" s="81"/>
    </row>
    <row r="17" spans="1:10" x14ac:dyDescent="0.2">
      <c r="A17" s="33" t="s">
        <v>15</v>
      </c>
      <c r="B17" s="86">
        <f t="shared" ref="B17:J17" si="0">AVERAGE(B3:B15)</f>
        <v>1869.5622499999999</v>
      </c>
      <c r="C17" s="86">
        <f t="shared" si="0"/>
        <v>1314.981454018051</v>
      </c>
      <c r="D17" s="86">
        <f t="shared" si="0"/>
        <v>25.248369426803457</v>
      </c>
      <c r="E17" s="86">
        <f t="shared" si="0"/>
        <v>34.798869696598778</v>
      </c>
      <c r="F17" s="29">
        <f t="shared" si="0"/>
        <v>0.56760301637761978</v>
      </c>
      <c r="G17" s="86">
        <f t="shared" si="0"/>
        <v>-26.697390420108281</v>
      </c>
      <c r="H17" s="86">
        <f t="shared" si="0"/>
        <v>179.46774988774985</v>
      </c>
      <c r="I17" s="83">
        <f t="shared" si="0"/>
        <v>1.7060339136278484</v>
      </c>
      <c r="J17" s="83">
        <f t="shared" si="0"/>
        <v>6.9354679023056285</v>
      </c>
    </row>
    <row r="18" spans="1:10" x14ac:dyDescent="0.2">
      <c r="A18" s="33" t="s">
        <v>16</v>
      </c>
      <c r="B18" s="83">
        <f t="shared" ref="B18:J18" si="1">STDEV(B3:B15)</f>
        <v>7.2299880549986167E-4</v>
      </c>
      <c r="C18" s="83">
        <f t="shared" si="1"/>
        <v>223.51789015830602</v>
      </c>
      <c r="D18" s="83">
        <f t="shared" si="1"/>
        <v>3.222908787450085</v>
      </c>
      <c r="E18" s="83">
        <f t="shared" si="1"/>
        <v>0.36363239470694708</v>
      </c>
      <c r="F18" s="29">
        <f t="shared" si="1"/>
        <v>9.2215629518715314E-2</v>
      </c>
      <c r="G18" s="83">
        <f t="shared" si="1"/>
        <v>5.7889760103655277E-6</v>
      </c>
      <c r="H18" s="83">
        <f t="shared" si="1"/>
        <v>1.6283722964431469E-2</v>
      </c>
      <c r="I18" s="29">
        <f t="shared" si="1"/>
        <v>1.991221703000035E-3</v>
      </c>
      <c r="J18" s="29">
        <f t="shared" si="1"/>
        <v>2.6733115904895923</v>
      </c>
    </row>
    <row r="19" spans="1:10" x14ac:dyDescent="0.2">
      <c r="A19" s="33" t="s">
        <v>24</v>
      </c>
      <c r="B19" s="17">
        <f>B18/B17</f>
        <v>3.867209051208975E-7</v>
      </c>
      <c r="C19" s="17">
        <f t="shared" ref="C19:J19" si="2">C18/C17</f>
        <v>0.1699779791382805</v>
      </c>
      <c r="D19" s="17">
        <f t="shared" si="2"/>
        <v>0.12764819513566972</v>
      </c>
      <c r="E19" s="17">
        <f t="shared" si="2"/>
        <v>1.0449546145531511E-2</v>
      </c>
      <c r="F19" s="17">
        <f t="shared" si="2"/>
        <v>0.16246500962455301</v>
      </c>
      <c r="G19" s="17">
        <f t="shared" si="2"/>
        <v>-2.1683677390451289E-7</v>
      </c>
      <c r="H19" s="17">
        <f t="shared" si="2"/>
        <v>9.0733421322863357E-5</v>
      </c>
      <c r="I19" s="17">
        <f t="shared" si="2"/>
        <v>1.167164197085473E-3</v>
      </c>
      <c r="J19" s="17">
        <f t="shared" si="2"/>
        <v>0.38545511682072325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C21" s="1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XFC21"/>
  <sheetViews>
    <sheetView zoomScale="90" zoomScaleNormal="90" workbookViewId="0">
      <selection activeCell="D22" sqref="D22"/>
    </sheetView>
  </sheetViews>
  <sheetFormatPr baseColWidth="10" defaultColWidth="8.83203125" defaultRowHeight="15" x14ac:dyDescent="0.2"/>
  <cols>
    <col min="1" max="1" width="33.1640625" customWidth="1"/>
    <col min="2" max="2" width="14.6640625" customWidth="1"/>
    <col min="3" max="3" width="12.83203125" customWidth="1"/>
    <col min="4" max="4" width="18.5" customWidth="1"/>
    <col min="5" max="5" width="17.83203125" customWidth="1"/>
    <col min="6" max="6" width="14" customWidth="1"/>
    <col min="7" max="7" width="15.5" customWidth="1"/>
    <col min="8" max="8" width="14.1640625" customWidth="1"/>
    <col min="9" max="9" width="15.83203125" customWidth="1"/>
    <col min="10" max="10" width="15.6640625" customWidth="1"/>
  </cols>
  <sheetData>
    <row r="1" spans="1:16383" ht="32" customHeight="1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6383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6383" x14ac:dyDescent="0.2">
      <c r="A3" s="23" t="s">
        <v>10</v>
      </c>
      <c r="B3" s="93">
        <v>66.123599999999996</v>
      </c>
      <c r="C3" s="86">
        <v>88.449299999999994</v>
      </c>
      <c r="D3" s="86">
        <v>4.0998999999999999</v>
      </c>
      <c r="E3" s="86">
        <v>6.1524999999999999</v>
      </c>
      <c r="F3" s="29">
        <v>0.89405000000000001</v>
      </c>
      <c r="G3" s="86">
        <v>-196.81309999999999</v>
      </c>
      <c r="H3" s="86">
        <v>194.40729999999999</v>
      </c>
      <c r="I3" s="83">
        <v>-0.68069999999999997</v>
      </c>
      <c r="J3" s="83">
        <v>2.1116999999999999</v>
      </c>
    </row>
    <row r="4" spans="1:16383" s="18" customFormat="1" x14ac:dyDescent="0.2">
      <c r="A4" s="23" t="s">
        <v>11</v>
      </c>
      <c r="B4" s="94">
        <v>66.123962399999996</v>
      </c>
      <c r="C4" s="87">
        <v>88.647059679999998</v>
      </c>
      <c r="D4" s="87">
        <v>4.7167058900000001</v>
      </c>
      <c r="E4" s="87">
        <v>7.2053108129999996</v>
      </c>
      <c r="F4" s="28">
        <v>0.85862497900000001</v>
      </c>
      <c r="G4" s="87">
        <v>-196.8130841</v>
      </c>
      <c r="H4" s="87">
        <v>193.49675216912556</v>
      </c>
      <c r="I4" s="84">
        <v>-0.68070164799999999</v>
      </c>
      <c r="J4" s="84">
        <v>6.7636620000000001</v>
      </c>
    </row>
    <row r="5" spans="1:16383" s="18" customFormat="1" x14ac:dyDescent="0.2">
      <c r="A5" s="23" t="s">
        <v>54</v>
      </c>
      <c r="B5" s="95">
        <v>66.123999999999995</v>
      </c>
      <c r="C5" s="87">
        <v>118.5425</v>
      </c>
      <c r="D5" s="87">
        <v>4.0998999999999999</v>
      </c>
      <c r="E5" s="87">
        <v>6.4031000000000002</v>
      </c>
      <c r="F5" s="28">
        <v>0.66708999999999996</v>
      </c>
      <c r="G5" s="87">
        <v>-196.81309999999999</v>
      </c>
      <c r="H5" s="87">
        <v>193.49680000000001</v>
      </c>
      <c r="I5" s="84">
        <v>-0.67930000000000001</v>
      </c>
      <c r="J5" s="84">
        <v>9.2111000000000001</v>
      </c>
    </row>
    <row r="6" spans="1:16383" s="18" customFormat="1" x14ac:dyDescent="0.2">
      <c r="A6" s="23" t="s">
        <v>55</v>
      </c>
      <c r="B6" s="96">
        <v>66.123962402343693</v>
      </c>
      <c r="C6" s="86">
        <v>88.647059678870093</v>
      </c>
      <c r="D6" s="86">
        <v>4.7167058900386101</v>
      </c>
      <c r="E6" s="86">
        <v>7.2053108126055099</v>
      </c>
      <c r="F6" s="29">
        <v>0.858624978623309</v>
      </c>
      <c r="G6" s="86">
        <v>-196.813084112149</v>
      </c>
      <c r="H6" s="86">
        <v>193.49675216869662</v>
      </c>
      <c r="I6" s="83">
        <v>-0.68070164802652999</v>
      </c>
      <c r="J6" s="83">
        <v>6.7636619996595897</v>
      </c>
    </row>
    <row r="7" spans="1:16383" s="18" customFormat="1" x14ac:dyDescent="0.2">
      <c r="A7" s="23" t="s">
        <v>56</v>
      </c>
      <c r="B7" s="95">
        <v>66.123999999999995</v>
      </c>
      <c r="C7" s="87">
        <v>86.991</v>
      </c>
      <c r="D7" s="63" t="s">
        <v>52</v>
      </c>
      <c r="E7" s="87">
        <v>6.6914400000000001</v>
      </c>
      <c r="F7" s="28">
        <v>0.90903800000000001</v>
      </c>
      <c r="G7" s="87">
        <v>-196.81349599999999</v>
      </c>
      <c r="H7" s="87">
        <v>193.49632800000001</v>
      </c>
      <c r="I7" s="83">
        <v>-0.68366199999999999</v>
      </c>
      <c r="J7" s="83">
        <v>7.9894340000000001</v>
      </c>
    </row>
    <row r="8" spans="1:16383" s="18" customFormat="1" x14ac:dyDescent="0.2">
      <c r="A8" s="23" t="s">
        <v>57</v>
      </c>
      <c r="B8" s="87">
        <v>66.123962399999996</v>
      </c>
      <c r="C8" s="63" t="s">
        <v>52</v>
      </c>
      <c r="D8" s="87">
        <v>4.0998880509999998</v>
      </c>
      <c r="E8" s="87">
        <v>6.1525607600000001</v>
      </c>
      <c r="F8" s="63" t="s">
        <v>52</v>
      </c>
      <c r="G8" s="87">
        <v>-196.8130841</v>
      </c>
      <c r="H8" s="87">
        <v>194.4073301</v>
      </c>
      <c r="I8" s="84">
        <v>-0.65390178899999996</v>
      </c>
      <c r="J8" s="84">
        <v>4.8910782209999999</v>
      </c>
    </row>
    <row r="9" spans="1:16383" s="18" customFormat="1" x14ac:dyDescent="0.2">
      <c r="A9" s="23" t="s">
        <v>58</v>
      </c>
      <c r="B9" s="95">
        <v>66.123999999999995</v>
      </c>
      <c r="C9" s="87">
        <v>88.647099999999995</v>
      </c>
      <c r="D9" s="87">
        <v>6.1525999999999996</v>
      </c>
      <c r="E9" s="87">
        <v>6.1525999999999996</v>
      </c>
      <c r="F9" s="28">
        <v>0.85862000000000005</v>
      </c>
      <c r="G9" s="87">
        <v>-196.81299999999999</v>
      </c>
      <c r="H9" s="87">
        <v>193.49700000000001</v>
      </c>
      <c r="I9" s="84">
        <v>-0.67930000000000001</v>
      </c>
      <c r="J9" s="84">
        <v>6.7701000000000002</v>
      </c>
    </row>
    <row r="10" spans="1:16383" s="18" customFormat="1" x14ac:dyDescent="0.2">
      <c r="A10" s="23" t="s">
        <v>59</v>
      </c>
      <c r="B10" s="86">
        <v>66.123962000000006</v>
      </c>
      <c r="C10" s="86">
        <v>74.414500000000004</v>
      </c>
      <c r="D10" s="86">
        <v>4.099888</v>
      </c>
      <c r="E10" s="86">
        <v>6.1525610000000004</v>
      </c>
      <c r="F10" s="29">
        <v>1.0733699999999999</v>
      </c>
      <c r="G10" s="86">
        <v>-196.813084</v>
      </c>
      <c r="H10" s="86">
        <v>194.40733</v>
      </c>
      <c r="I10" s="83">
        <v>-0.68070200000000003</v>
      </c>
      <c r="J10" s="83">
        <v>6.4512489999999998</v>
      </c>
    </row>
    <row r="11" spans="1:16383" s="18" customFormat="1" x14ac:dyDescent="0.2">
      <c r="A11" s="23" t="s">
        <v>61</v>
      </c>
      <c r="B11" s="87">
        <v>66.123962000000006</v>
      </c>
      <c r="C11" s="87">
        <v>68.554687999999999</v>
      </c>
      <c r="D11" s="87">
        <v>4.099888</v>
      </c>
      <c r="E11" s="87">
        <v>6.1525610000000004</v>
      </c>
      <c r="F11" s="28">
        <v>1.153505</v>
      </c>
      <c r="G11" s="87">
        <v>-196.81308000000001</v>
      </c>
      <c r="H11" s="87">
        <v>193.49674999999999</v>
      </c>
      <c r="I11" s="84">
        <v>-0.67929799999999996</v>
      </c>
      <c r="J11" s="84">
        <v>6.2163930000000001</v>
      </c>
    </row>
    <row r="12" spans="1:16383" s="18" customFormat="1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83">
        <v>3.7220631007521798</v>
      </c>
    </row>
    <row r="13" spans="1:16383" s="18" customFormat="1" x14ac:dyDescent="0.2">
      <c r="A13" s="23" t="s">
        <v>62</v>
      </c>
      <c r="B13" s="87">
        <v>66.123962402343693</v>
      </c>
      <c r="C13" s="87">
        <v>88.647059678870093</v>
      </c>
      <c r="D13" s="97">
        <v>4.7167058900386101</v>
      </c>
      <c r="E13" s="87">
        <v>7.2053108126055099</v>
      </c>
      <c r="F13" s="28">
        <v>0.858624978623309</v>
      </c>
      <c r="G13" s="87">
        <v>-196.813084112149</v>
      </c>
      <c r="H13" s="98">
        <v>193.49675216869662</v>
      </c>
      <c r="I13" s="84">
        <v>-0.68070164802652999</v>
      </c>
      <c r="J13" s="68" t="s">
        <v>52</v>
      </c>
    </row>
    <row r="14" spans="1:16383" s="18" customFormat="1" x14ac:dyDescent="0.2">
      <c r="A14" s="23" t="s">
        <v>63</v>
      </c>
      <c r="B14" s="96">
        <v>66.123962000000006</v>
      </c>
      <c r="C14" s="86">
        <v>88.647057000000004</v>
      </c>
      <c r="D14" s="86">
        <v>5.0703063000000004</v>
      </c>
      <c r="E14" s="86">
        <v>7.2053108000000003</v>
      </c>
      <c r="F14" s="29">
        <v>0.85862499000000003</v>
      </c>
      <c r="G14" s="86">
        <v>-196.81308000000001</v>
      </c>
      <c r="H14" s="86">
        <v>194.40733</v>
      </c>
      <c r="I14" s="83">
        <v>-0.67929834</v>
      </c>
      <c r="J14" s="83">
        <v>7.9798249999999999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s="18" customFormat="1" x14ac:dyDescent="0.2">
      <c r="A15" s="23" t="s">
        <v>64</v>
      </c>
      <c r="B15" s="96">
        <v>66.123962399999996</v>
      </c>
      <c r="C15" s="86">
        <v>77.678477319999999</v>
      </c>
      <c r="D15" s="86">
        <v>6.3368964869999997</v>
      </c>
      <c r="E15" s="63" t="s">
        <v>52</v>
      </c>
      <c r="F15" s="29">
        <v>1.0180192749999999</v>
      </c>
      <c r="G15" s="86">
        <v>-196.8130841</v>
      </c>
      <c r="H15" s="86">
        <v>194.4073301</v>
      </c>
      <c r="I15" s="83">
        <f>2.277526746-3</f>
        <v>-0.72247325400000006</v>
      </c>
      <c r="J15" s="83">
        <v>7.5996613389999998</v>
      </c>
      <c r="L15" s="92"/>
    </row>
    <row r="16" spans="1:16383" s="18" customFormat="1" x14ac:dyDescent="0.2">
      <c r="A16" s="37"/>
      <c r="B16" s="8"/>
      <c r="C16" s="8"/>
      <c r="D16" s="99"/>
      <c r="E16" s="87"/>
      <c r="F16" s="8"/>
      <c r="G16" s="8"/>
      <c r="H16" s="100"/>
      <c r="I16" s="84"/>
      <c r="J16" s="101"/>
    </row>
    <row r="17" spans="1:10" s="18" customFormat="1" x14ac:dyDescent="0.2">
      <c r="A17" s="36" t="s">
        <v>15</v>
      </c>
      <c r="B17" s="96">
        <f t="shared" ref="B17:J17" si="0">AVERAGE(B3:B15)</f>
        <v>66.123941500390615</v>
      </c>
      <c r="C17" s="96">
        <f t="shared" si="0"/>
        <v>87.078709214340009</v>
      </c>
      <c r="D17" s="96">
        <f t="shared" si="0"/>
        <v>4.7463076825524739</v>
      </c>
      <c r="E17" s="96">
        <f t="shared" si="0"/>
        <v>6.6071423634737299</v>
      </c>
      <c r="F17" s="82">
        <f t="shared" si="0"/>
        <v>0.90983565465878347</v>
      </c>
      <c r="G17" s="96">
        <f t="shared" si="0"/>
        <v>-196.81311337702485</v>
      </c>
      <c r="H17" s="96">
        <f t="shared" si="0"/>
        <v>193.87614622554324</v>
      </c>
      <c r="I17" s="102">
        <f t="shared" si="0"/>
        <v>-0.68172836058775499</v>
      </c>
      <c r="J17" s="102">
        <f t="shared" si="0"/>
        <v>6.3724939717009805</v>
      </c>
    </row>
    <row r="18" spans="1:10" s="18" customFormat="1" x14ac:dyDescent="0.2">
      <c r="A18" s="36" t="s">
        <v>16</v>
      </c>
      <c r="B18" s="102">
        <f t="shared" ref="B18:J18" si="1">STDEV(B3:B15)</f>
        <v>1.088510224377258E-4</v>
      </c>
      <c r="C18" s="102">
        <f t="shared" si="1"/>
        <v>12.633451599736034</v>
      </c>
      <c r="D18" s="102">
        <f t="shared" si="1"/>
        <v>0.81880984761913655</v>
      </c>
      <c r="E18" s="102">
        <f t="shared" si="1"/>
        <v>0.50131852571628799</v>
      </c>
      <c r="F18" s="82">
        <f t="shared" si="1"/>
        <v>0.13042636969393256</v>
      </c>
      <c r="G18" s="102">
        <f t="shared" si="1"/>
        <v>1.2321007193531511E-4</v>
      </c>
      <c r="H18" s="102">
        <f t="shared" si="1"/>
        <v>0.46888918093265808</v>
      </c>
      <c r="I18" s="82">
        <f t="shared" si="1"/>
        <v>1.4975987651361817E-2</v>
      </c>
      <c r="J18" s="82">
        <f t="shared" si="1"/>
        <v>1.9686187818861212</v>
      </c>
    </row>
    <row r="19" spans="1:10" s="18" customFormat="1" x14ac:dyDescent="0.2">
      <c r="A19" s="36" t="s">
        <v>24</v>
      </c>
      <c r="B19" s="43">
        <f>B18/B17</f>
        <v>1.6461665770042273E-6</v>
      </c>
      <c r="C19" s="43">
        <f t="shared" ref="C19:J19" si="2">C18/C17</f>
        <v>0.14508083220020415</v>
      </c>
      <c r="D19" s="43">
        <f t="shared" si="2"/>
        <v>0.17251512172906502</v>
      </c>
      <c r="E19" s="43">
        <f t="shared" si="2"/>
        <v>7.5875241993834969E-2</v>
      </c>
      <c r="F19" s="43">
        <f t="shared" si="2"/>
        <v>0.14335157017213893</v>
      </c>
      <c r="G19" s="43">
        <f t="shared" si="2"/>
        <v>-6.2602572471524219E-7</v>
      </c>
      <c r="H19" s="43">
        <f t="shared" si="2"/>
        <v>2.4184985624130474E-3</v>
      </c>
      <c r="I19" s="43">
        <f t="shared" si="2"/>
        <v>-2.1967675862054802E-2</v>
      </c>
      <c r="J19" s="43">
        <f t="shared" si="2"/>
        <v>0.30892438511960596</v>
      </c>
    </row>
    <row r="20" spans="1:10" ht="16.75" customHeight="1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C21" s="1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XFC21"/>
  <sheetViews>
    <sheetView zoomScale="90" zoomScaleNormal="90" workbookViewId="0">
      <selection activeCell="D20" sqref="D20"/>
    </sheetView>
  </sheetViews>
  <sheetFormatPr baseColWidth="10" defaultColWidth="8.83203125" defaultRowHeight="15" x14ac:dyDescent="0.2"/>
  <cols>
    <col min="1" max="1" width="33.5" customWidth="1"/>
    <col min="2" max="2" width="13.1640625" customWidth="1"/>
    <col min="3" max="3" width="16" customWidth="1"/>
    <col min="4" max="4" width="17.5" customWidth="1"/>
    <col min="5" max="5" width="17.33203125" customWidth="1"/>
    <col min="6" max="6" width="15.1640625" customWidth="1"/>
    <col min="7" max="7" width="14.83203125" customWidth="1"/>
    <col min="8" max="8" width="15" customWidth="1"/>
    <col min="9" max="9" width="15.6640625" customWidth="1"/>
    <col min="10" max="10" width="14.33203125" customWidth="1"/>
  </cols>
  <sheetData>
    <row r="1" spans="1:16383" ht="16" x14ac:dyDescent="0.2">
      <c r="A1" s="23" t="s">
        <v>0</v>
      </c>
      <c r="B1" s="81" t="s">
        <v>1</v>
      </c>
      <c r="C1" s="81" t="s">
        <v>2</v>
      </c>
      <c r="D1" s="103" t="s">
        <v>3</v>
      </c>
      <c r="E1" s="103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</row>
    <row r="2" spans="1:16383" ht="17" x14ac:dyDescent="0.2">
      <c r="A2" s="23"/>
      <c r="B2" s="81" t="s">
        <v>50</v>
      </c>
      <c r="C2" s="81" t="s">
        <v>51</v>
      </c>
      <c r="D2" s="81" t="s">
        <v>12</v>
      </c>
      <c r="E2" s="81" t="s">
        <v>12</v>
      </c>
      <c r="F2" s="81" t="s">
        <v>13</v>
      </c>
      <c r="G2" s="81" t="s">
        <v>14</v>
      </c>
      <c r="H2" s="81" t="s">
        <v>14</v>
      </c>
      <c r="I2" s="81" t="s">
        <v>13</v>
      </c>
      <c r="J2" s="81" t="s">
        <v>13</v>
      </c>
    </row>
    <row r="3" spans="1:16383" s="18" customFormat="1" x14ac:dyDescent="0.2">
      <c r="A3" s="23" t="s">
        <v>10</v>
      </c>
      <c r="B3" s="87">
        <v>428.57650000000001</v>
      </c>
      <c r="C3" s="87">
        <v>321.53730000000002</v>
      </c>
      <c r="D3" s="87">
        <v>12.697800000000001</v>
      </c>
      <c r="E3" s="87">
        <v>12.7371</v>
      </c>
      <c r="F3" s="28">
        <v>0.85494999999999999</v>
      </c>
      <c r="G3" s="87">
        <v>1378.3778</v>
      </c>
      <c r="H3" s="87">
        <v>663.33910000000003</v>
      </c>
      <c r="I3" s="84">
        <f>2.0916-3</f>
        <v>-0.90839999999999987</v>
      </c>
      <c r="J3" s="84">
        <v>2.9426000000000001</v>
      </c>
    </row>
    <row r="4" spans="1:16383" s="18" customFormat="1" x14ac:dyDescent="0.2">
      <c r="A4" s="23" t="s">
        <v>11</v>
      </c>
      <c r="B4" s="87">
        <v>428.57646940000001</v>
      </c>
      <c r="C4" s="87">
        <v>322.55495989999997</v>
      </c>
      <c r="D4" s="87">
        <v>13.512692879999999</v>
      </c>
      <c r="E4" s="87">
        <v>13.549644600000001</v>
      </c>
      <c r="F4" s="28">
        <v>0.84094448399999999</v>
      </c>
      <c r="G4" s="87">
        <v>1378.3778139999999</v>
      </c>
      <c r="H4" s="87">
        <v>662.80566111040423</v>
      </c>
      <c r="I4" s="84">
        <f>2.091634981-3</f>
        <v>-0.90836501900000011</v>
      </c>
      <c r="J4" s="84">
        <v>9.6030110289999993</v>
      </c>
    </row>
    <row r="5" spans="1:16383" s="18" customFormat="1" x14ac:dyDescent="0.2">
      <c r="A5" s="23" t="s">
        <v>54</v>
      </c>
      <c r="B5" s="87">
        <v>428.57650000000001</v>
      </c>
      <c r="C5" s="87">
        <v>437.31819999999999</v>
      </c>
      <c r="D5" s="87">
        <v>11.2903</v>
      </c>
      <c r="E5" s="87">
        <v>13.076700000000001</v>
      </c>
      <c r="F5" s="28">
        <v>0.62860000000000005</v>
      </c>
      <c r="G5" s="87">
        <v>1378.3778</v>
      </c>
      <c r="H5" s="87">
        <v>662.8057</v>
      </c>
      <c r="I5" s="84">
        <v>-0.90837000000000001</v>
      </c>
      <c r="J5" s="84">
        <v>8.7646999999999995</v>
      </c>
    </row>
    <row r="6" spans="1:16383" s="18" customFormat="1" x14ac:dyDescent="0.2">
      <c r="A6" s="23" t="s">
        <v>55</v>
      </c>
      <c r="B6" s="86">
        <v>428.57646942138598</v>
      </c>
      <c r="C6" s="86">
        <v>322.55495991837699</v>
      </c>
      <c r="D6" s="86">
        <v>13.5126928776218</v>
      </c>
      <c r="E6" s="86">
        <v>13.549644600687101</v>
      </c>
      <c r="F6" s="29">
        <v>0.84094448352996798</v>
      </c>
      <c r="G6" s="86">
        <v>1378.3778135048201</v>
      </c>
      <c r="H6" s="86">
        <v>662.80566110679763</v>
      </c>
      <c r="I6" s="83">
        <f>2.09163498081514-3</f>
        <v>-0.90836501918485979</v>
      </c>
      <c r="J6" s="83">
        <v>9.6030110292417099</v>
      </c>
    </row>
    <row r="7" spans="1:16383" s="18" customFormat="1" x14ac:dyDescent="0.2">
      <c r="A7" s="23" t="s">
        <v>56</v>
      </c>
      <c r="B7" s="87">
        <v>428.57600000000002</v>
      </c>
      <c r="C7" s="87">
        <v>351.83249999999998</v>
      </c>
      <c r="D7" s="63" t="s">
        <v>52</v>
      </c>
      <c r="E7" s="87">
        <v>13.726469999999999</v>
      </c>
      <c r="F7" s="28">
        <v>0.78132900000000005</v>
      </c>
      <c r="G7" s="87">
        <v>1378.3778139999999</v>
      </c>
      <c r="H7" s="87">
        <v>662.80566099999999</v>
      </c>
      <c r="I7" s="83">
        <v>-0.91023200000000004</v>
      </c>
      <c r="J7" s="83">
        <v>10.020878</v>
      </c>
    </row>
    <row r="8" spans="1:16383" s="18" customFormat="1" x14ac:dyDescent="0.2">
      <c r="A8" s="23" t="s">
        <v>57</v>
      </c>
      <c r="B8" s="87">
        <v>428.57646940000001</v>
      </c>
      <c r="C8" s="63" t="s">
        <v>52</v>
      </c>
      <c r="D8" s="87">
        <v>12.697751759999999</v>
      </c>
      <c r="E8" s="87">
        <v>12.737067939999999</v>
      </c>
      <c r="F8" s="63" t="s">
        <v>52</v>
      </c>
      <c r="G8" s="87">
        <v>1378.3778139999999</v>
      </c>
      <c r="H8" s="87">
        <v>663.33910639999999</v>
      </c>
      <c r="I8" s="84">
        <v>-0.90600079099999997</v>
      </c>
      <c r="J8" s="84">
        <v>4.8414169310000004</v>
      </c>
    </row>
    <row r="9" spans="1:16383" s="18" customFormat="1" x14ac:dyDescent="0.2">
      <c r="A9" s="23" t="s">
        <v>58</v>
      </c>
      <c r="B9" s="87">
        <v>428.57600000000002</v>
      </c>
      <c r="C9" s="87">
        <v>322.55500000000001</v>
      </c>
      <c r="D9" s="87">
        <v>12.7371</v>
      </c>
      <c r="E9" s="87">
        <v>12.7371</v>
      </c>
      <c r="F9" s="28">
        <v>0.84094000000000002</v>
      </c>
      <c r="G9" s="87">
        <v>1378.38</v>
      </c>
      <c r="H9" s="87">
        <v>662.80600000000004</v>
      </c>
      <c r="I9" s="84">
        <v>-0.90835999999999995</v>
      </c>
      <c r="J9" s="84">
        <v>9.6038999999999994</v>
      </c>
    </row>
    <row r="10" spans="1:16383" s="18" customFormat="1" x14ac:dyDescent="0.2">
      <c r="A10" s="23" t="s">
        <v>59</v>
      </c>
      <c r="B10" s="86">
        <v>428.57646899999997</v>
      </c>
      <c r="C10" s="86">
        <v>196.57374999999999</v>
      </c>
      <c r="D10" s="86">
        <v>12.697754</v>
      </c>
      <c r="E10" s="86">
        <v>12.737069999999999</v>
      </c>
      <c r="F10" s="29">
        <v>1.3025279999999999</v>
      </c>
      <c r="G10" s="86">
        <v>1378.3778139999999</v>
      </c>
      <c r="H10" s="86">
        <v>663.33910600000002</v>
      </c>
      <c r="I10" s="83">
        <f>2.091635-3</f>
        <v>-0.90836499999999987</v>
      </c>
      <c r="J10" s="83">
        <v>1.2486950000000001</v>
      </c>
    </row>
    <row r="11" spans="1:16383" s="18" customFormat="1" x14ac:dyDescent="0.2">
      <c r="A11" s="23" t="s">
        <v>61</v>
      </c>
      <c r="B11" s="104">
        <v>428.57646899999997</v>
      </c>
      <c r="C11" s="104">
        <v>230.761719</v>
      </c>
      <c r="D11" s="104">
        <v>12.697754</v>
      </c>
      <c r="E11" s="104">
        <v>12.737069999999999</v>
      </c>
      <c r="F11" s="30">
        <v>1.1912579999999999</v>
      </c>
      <c r="G11" s="104">
        <v>1378.377808</v>
      </c>
      <c r="H11" s="104">
        <v>662.80566399999998</v>
      </c>
      <c r="I11" s="105">
        <v>-0.90836499999999998</v>
      </c>
      <c r="J11" s="105">
        <v>8.9834890000000005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83">
        <v>3.9363501051309702</v>
      </c>
    </row>
    <row r="13" spans="1:16383" x14ac:dyDescent="0.2">
      <c r="A13" s="23" t="s">
        <v>62</v>
      </c>
      <c r="B13" s="87">
        <v>428.57646942138598</v>
      </c>
      <c r="C13" s="87">
        <v>322.55495991837699</v>
      </c>
      <c r="D13" s="97">
        <v>13.5126928776218</v>
      </c>
      <c r="E13" s="87">
        <v>13.549644600687101</v>
      </c>
      <c r="F13" s="28">
        <v>0.84094448352996798</v>
      </c>
      <c r="G13" s="87">
        <v>1378.3778135048201</v>
      </c>
      <c r="H13" s="98">
        <v>662.80566110679763</v>
      </c>
      <c r="I13" s="84">
        <f>2.09163498081514-3</f>
        <v>-0.90836501918485979</v>
      </c>
      <c r="J13" s="68" t="s">
        <v>52</v>
      </c>
    </row>
    <row r="14" spans="1:16383" x14ac:dyDescent="0.2">
      <c r="A14" s="23" t="s">
        <v>63</v>
      </c>
      <c r="B14" s="86">
        <v>428.57648</v>
      </c>
      <c r="C14" s="86">
        <v>322.55495999999999</v>
      </c>
      <c r="D14" s="86">
        <v>13.384607000000001</v>
      </c>
      <c r="E14" s="86">
        <v>13.549644000000001</v>
      </c>
      <c r="F14" s="29">
        <v>0.84094447000000005</v>
      </c>
      <c r="G14" s="86">
        <v>1378.3778</v>
      </c>
      <c r="H14" s="86">
        <v>663.33911000000001</v>
      </c>
      <c r="I14" s="83">
        <v>-0.90836501000000003</v>
      </c>
      <c r="J14" s="83">
        <v>10.452337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23" t="s">
        <v>64</v>
      </c>
      <c r="B15" s="86">
        <v>428.57646940000001</v>
      </c>
      <c r="C15" s="86">
        <v>300.72699340000003</v>
      </c>
      <c r="D15" s="86">
        <v>12.05108822</v>
      </c>
      <c r="E15" s="63" t="s">
        <v>52</v>
      </c>
      <c r="F15" s="29">
        <v>0.91410747589999997</v>
      </c>
      <c r="G15" s="86">
        <v>1378.3778139999999</v>
      </c>
      <c r="H15" s="86">
        <v>663.33910639999999</v>
      </c>
      <c r="I15" s="83">
        <f>2.084914873-3</f>
        <v>-0.91508512700000022</v>
      </c>
      <c r="J15" s="83">
        <v>7.6057539250000001</v>
      </c>
    </row>
    <row r="16" spans="1:16383" x14ac:dyDescent="0.2">
      <c r="A16" s="37"/>
      <c r="B16" s="8"/>
      <c r="C16" s="87"/>
      <c r="D16" s="97"/>
      <c r="E16" s="87"/>
      <c r="F16" s="8"/>
      <c r="G16" s="87"/>
      <c r="H16" s="98"/>
      <c r="I16" s="84"/>
      <c r="J16" s="83"/>
    </row>
    <row r="17" spans="1:10" x14ac:dyDescent="0.2">
      <c r="A17" s="23" t="s">
        <v>15</v>
      </c>
      <c r="B17" s="86">
        <f t="shared" ref="B17:J17" si="0">AVERAGE(B3:B15)</f>
        <v>428.57639708689766</v>
      </c>
      <c r="C17" s="86">
        <f t="shared" si="0"/>
        <v>313.77502746697763</v>
      </c>
      <c r="D17" s="86">
        <f t="shared" si="0"/>
        <v>12.799293965022144</v>
      </c>
      <c r="E17" s="86">
        <f t="shared" si="0"/>
        <v>13.153377794670382</v>
      </c>
      <c r="F17" s="29">
        <f t="shared" si="0"/>
        <v>0.8979536724509033</v>
      </c>
      <c r="G17" s="86">
        <f t="shared" si="0"/>
        <v>1378.3779920841364</v>
      </c>
      <c r="H17" s="86">
        <f t="shared" si="0"/>
        <v>663.02796142700004</v>
      </c>
      <c r="I17" s="83">
        <f t="shared" si="0"/>
        <v>-0.90888649878080996</v>
      </c>
      <c r="J17" s="83">
        <f t="shared" si="0"/>
        <v>7.3005118349477236</v>
      </c>
    </row>
    <row r="18" spans="1:10" x14ac:dyDescent="0.2">
      <c r="A18" s="23" t="s">
        <v>16</v>
      </c>
      <c r="B18" s="83">
        <f t="shared" ref="B18:J18" si="1">STDEV(B3:B15)</f>
        <v>1.8584155119252821E-4</v>
      </c>
      <c r="C18" s="83">
        <f t="shared" si="1"/>
        <v>61.60728557543883</v>
      </c>
      <c r="D18" s="83">
        <f t="shared" si="1"/>
        <v>0.68930259420489304</v>
      </c>
      <c r="E18" s="83">
        <f t="shared" si="1"/>
        <v>0.42766059780771504</v>
      </c>
      <c r="F18" s="29">
        <f t="shared" si="1"/>
        <v>0.18820774218642999</v>
      </c>
      <c r="G18" s="83">
        <f t="shared" si="1"/>
        <v>6.3235871394521227E-4</v>
      </c>
      <c r="H18" s="83">
        <f t="shared" si="1"/>
        <v>0.27465795558509304</v>
      </c>
      <c r="I18" s="29">
        <f t="shared" si="1"/>
        <v>2.1526521348913456E-3</v>
      </c>
      <c r="J18" s="29">
        <f t="shared" si="1"/>
        <v>3.1808095363299365</v>
      </c>
    </row>
    <row r="19" spans="1:10" x14ac:dyDescent="0.2">
      <c r="A19" s="23" t="s">
        <v>24</v>
      </c>
      <c r="B19" s="17">
        <f>B18/B17</f>
        <v>4.3362525901034906E-7</v>
      </c>
      <c r="C19" s="17">
        <f t="shared" ref="C19:J19" si="2">C18/C17</f>
        <v>0.1963422203251102</v>
      </c>
      <c r="D19" s="17">
        <f t="shared" si="2"/>
        <v>5.3854735744691559E-2</v>
      </c>
      <c r="E19" s="17">
        <f t="shared" si="2"/>
        <v>3.2513366869231022E-2</v>
      </c>
      <c r="F19" s="17">
        <f t="shared" si="2"/>
        <v>0.20959627201337661</v>
      </c>
      <c r="G19" s="17">
        <f t="shared" si="2"/>
        <v>4.5877017594359049E-7</v>
      </c>
      <c r="H19" s="17">
        <f t="shared" si="2"/>
        <v>4.1424792250685966E-4</v>
      </c>
      <c r="I19" s="17">
        <f t="shared" si="2"/>
        <v>-2.3684498975162865E-3</v>
      </c>
      <c r="J19" s="17">
        <f t="shared" si="2"/>
        <v>0.43569678513543741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ht="11.75" customHeight="1" x14ac:dyDescent="0.2">
      <c r="C21" s="4"/>
      <c r="D21" s="4"/>
      <c r="E21" s="4"/>
      <c r="F21" s="4"/>
      <c r="G21" s="4"/>
      <c r="J21" s="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XFC22"/>
  <sheetViews>
    <sheetView zoomScale="90" zoomScaleNormal="90" workbookViewId="0">
      <selection activeCell="D20" sqref="D20"/>
    </sheetView>
  </sheetViews>
  <sheetFormatPr baseColWidth="10" defaultColWidth="8.83203125" defaultRowHeight="15" x14ac:dyDescent="0.2"/>
  <cols>
    <col min="1" max="1" width="34" customWidth="1"/>
    <col min="2" max="2" width="13.33203125" customWidth="1"/>
    <col min="3" max="3" width="14.5" customWidth="1"/>
    <col min="4" max="4" width="19" customWidth="1"/>
    <col min="5" max="5" width="18" customWidth="1"/>
    <col min="6" max="6" width="13.1640625" customWidth="1"/>
    <col min="7" max="7" width="14.33203125" customWidth="1"/>
    <col min="8" max="8" width="14.83203125" customWidth="1"/>
    <col min="9" max="9" width="16.83203125" customWidth="1"/>
    <col min="10" max="10" width="16.1640625" customWidth="1"/>
  </cols>
  <sheetData>
    <row r="1" spans="1:16383" ht="16" x14ac:dyDescent="0.2">
      <c r="A1" s="23" t="s">
        <v>0</v>
      </c>
      <c r="B1" s="81" t="s">
        <v>1</v>
      </c>
      <c r="C1" s="81" t="s">
        <v>2</v>
      </c>
      <c r="D1" s="103" t="s">
        <v>3</v>
      </c>
      <c r="E1" s="103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</row>
    <row r="2" spans="1:16383" ht="17" x14ac:dyDescent="0.2">
      <c r="A2" s="23"/>
      <c r="B2" s="81" t="s">
        <v>50</v>
      </c>
      <c r="C2" s="81" t="s">
        <v>51</v>
      </c>
      <c r="D2" s="81" t="s">
        <v>12</v>
      </c>
      <c r="E2" s="81" t="s">
        <v>12</v>
      </c>
      <c r="F2" s="81" t="s">
        <v>13</v>
      </c>
      <c r="G2" s="81" t="s">
        <v>14</v>
      </c>
      <c r="H2" s="81" t="s">
        <v>14</v>
      </c>
      <c r="I2" s="81" t="s">
        <v>13</v>
      </c>
      <c r="J2" s="81" t="s">
        <v>13</v>
      </c>
    </row>
    <row r="3" spans="1:16383" s="18" customFormat="1" x14ac:dyDescent="0.2">
      <c r="A3" s="23" t="s">
        <v>10</v>
      </c>
      <c r="B3" s="87">
        <v>212.8672</v>
      </c>
      <c r="C3" s="87">
        <v>204.84540000000001</v>
      </c>
      <c r="D3" s="87">
        <v>8.6029999999999998</v>
      </c>
      <c r="E3" s="87">
        <v>9.2285000000000004</v>
      </c>
      <c r="F3" s="28">
        <v>0.84165000000000001</v>
      </c>
      <c r="G3" s="87">
        <v>-479.94150000000002</v>
      </c>
      <c r="H3" s="87">
        <v>202.0137</v>
      </c>
      <c r="I3" s="84">
        <f>2.1553-3</f>
        <v>-0.84470000000000001</v>
      </c>
      <c r="J3" s="84">
        <v>2.7675999999999998</v>
      </c>
    </row>
    <row r="4" spans="1:16383" s="18" customFormat="1" x14ac:dyDescent="0.2">
      <c r="A4" s="23" t="s">
        <v>11</v>
      </c>
      <c r="B4" s="87">
        <v>212.8671646</v>
      </c>
      <c r="C4" s="87">
        <v>205.30296630000001</v>
      </c>
      <c r="D4" s="87">
        <v>9.1741158709999997</v>
      </c>
      <c r="E4" s="87">
        <v>9.8227161269999996</v>
      </c>
      <c r="F4" s="28">
        <v>0.82965696300000003</v>
      </c>
      <c r="G4" s="87">
        <v>-479.94153849999998</v>
      </c>
      <c r="H4" s="87">
        <v>201.85820528281727</v>
      </c>
      <c r="I4" s="84">
        <f>2.155288856-3</f>
        <v>-0.84471114400000014</v>
      </c>
      <c r="J4" s="84">
        <v>8.5602805919999998</v>
      </c>
    </row>
    <row r="5" spans="1:16383" s="18" customFormat="1" x14ac:dyDescent="0.2">
      <c r="A5" s="23" t="s">
        <v>54</v>
      </c>
      <c r="B5" s="87">
        <v>212.8672</v>
      </c>
      <c r="C5" s="87">
        <v>279.24099999999999</v>
      </c>
      <c r="D5" s="87">
        <v>7.4394999999999998</v>
      </c>
      <c r="E5" s="87">
        <v>9.4339999999999993</v>
      </c>
      <c r="F5" s="28">
        <v>0.61741999999999997</v>
      </c>
      <c r="G5" s="87">
        <v>-479.94150000000002</v>
      </c>
      <c r="H5" s="87">
        <v>201.85820000000001</v>
      </c>
      <c r="I5" s="84">
        <v>-0.84470999999999996</v>
      </c>
      <c r="J5" s="84">
        <v>10.2311</v>
      </c>
    </row>
    <row r="6" spans="1:16383" s="18" customFormat="1" x14ac:dyDescent="0.2">
      <c r="A6" s="23" t="s">
        <v>55</v>
      </c>
      <c r="B6" s="86">
        <v>212.86716461181601</v>
      </c>
      <c r="C6" s="86">
        <v>205.30296629863699</v>
      </c>
      <c r="D6" s="86">
        <v>9.1741158706469701</v>
      </c>
      <c r="E6" s="86">
        <v>9.8227161266990102</v>
      </c>
      <c r="F6" s="29">
        <v>0.82965696289126001</v>
      </c>
      <c r="G6" s="86">
        <v>-479.94153846153802</v>
      </c>
      <c r="H6" s="86">
        <v>201.85820529219737</v>
      </c>
      <c r="I6" s="83">
        <f>2.15528885601476-3</f>
        <v>-0.84471114398523994</v>
      </c>
      <c r="J6" s="83">
        <v>8.5602805916646307</v>
      </c>
    </row>
    <row r="7" spans="1:16383" s="18" customFormat="1" x14ac:dyDescent="0.2">
      <c r="A7" s="23" t="s">
        <v>56</v>
      </c>
      <c r="B7" s="87">
        <v>212.86699999999999</v>
      </c>
      <c r="C7" s="87">
        <v>249.44120000000001</v>
      </c>
      <c r="D7" s="63" t="s">
        <v>52</v>
      </c>
      <c r="E7" s="87">
        <v>9.8465199999999999</v>
      </c>
      <c r="F7" s="28">
        <v>0.69117600000000001</v>
      </c>
      <c r="G7" s="87">
        <v>-479.94153799999998</v>
      </c>
      <c r="H7" s="87">
        <v>201.858205</v>
      </c>
      <c r="I7" s="83">
        <v>-0.84327700000000005</v>
      </c>
      <c r="J7" s="83">
        <v>10.734453</v>
      </c>
    </row>
    <row r="8" spans="1:16383" s="18" customFormat="1" x14ac:dyDescent="0.2">
      <c r="A8" s="23" t="s">
        <v>57</v>
      </c>
      <c r="B8" s="87">
        <v>212.8671646</v>
      </c>
      <c r="C8" s="63" t="s">
        <v>52</v>
      </c>
      <c r="D8" s="87">
        <v>8.6030443850000005</v>
      </c>
      <c r="E8" s="87">
        <v>9.2284620769999997</v>
      </c>
      <c r="F8" s="63" t="s">
        <v>52</v>
      </c>
      <c r="G8" s="87">
        <v>-479.94153849999998</v>
      </c>
      <c r="H8" s="87">
        <v>202.0136602</v>
      </c>
      <c r="I8" s="84">
        <v>-0.84195721400000001</v>
      </c>
      <c r="J8" s="84">
        <v>5.1170116710000002</v>
      </c>
    </row>
    <row r="9" spans="1:16383" s="18" customFormat="1" x14ac:dyDescent="0.2">
      <c r="A9" s="23" t="s">
        <v>58</v>
      </c>
      <c r="B9" s="87">
        <v>212.86699999999999</v>
      </c>
      <c r="C9" s="87">
        <v>205.303</v>
      </c>
      <c r="D9" s="87">
        <v>9.2285000000000004</v>
      </c>
      <c r="E9" s="87">
        <v>9.2285000000000004</v>
      </c>
      <c r="F9" s="28">
        <v>0.82965999999999995</v>
      </c>
      <c r="G9" s="87">
        <v>-479.94200000000001</v>
      </c>
      <c r="H9" s="87">
        <v>201.858</v>
      </c>
      <c r="I9" s="84">
        <v>-0.84470999999999996</v>
      </c>
      <c r="J9" s="84">
        <v>8.5046999999999997</v>
      </c>
    </row>
    <row r="10" spans="1:16383" s="18" customFormat="1" x14ac:dyDescent="0.2">
      <c r="A10" s="23" t="s">
        <v>59</v>
      </c>
      <c r="B10" s="86">
        <v>212.867165</v>
      </c>
      <c r="C10" s="86">
        <v>163.06675000000001</v>
      </c>
      <c r="D10" s="86">
        <v>8.6030390000000008</v>
      </c>
      <c r="E10" s="86">
        <v>9.2284559999999995</v>
      </c>
      <c r="F10" s="29">
        <v>0.97152300000000003</v>
      </c>
      <c r="G10" s="86">
        <v>-479.94153799999998</v>
      </c>
      <c r="H10" s="86">
        <v>202.01365999999999</v>
      </c>
      <c r="I10" s="83">
        <f>2.155289-3</f>
        <v>-0.84471100000000021</v>
      </c>
      <c r="J10" s="83">
        <v>6.5624549999999999</v>
      </c>
    </row>
    <row r="11" spans="1:16383" s="18" customFormat="1" x14ac:dyDescent="0.2">
      <c r="A11" s="23" t="s">
        <v>61</v>
      </c>
      <c r="B11" s="104">
        <v>212.867165</v>
      </c>
      <c r="C11" s="104">
        <v>164.8125</v>
      </c>
      <c r="D11" s="104">
        <v>8.6030390000000008</v>
      </c>
      <c r="E11" s="104">
        <v>9.2284559999999995</v>
      </c>
      <c r="F11" s="30">
        <v>1.046084</v>
      </c>
      <c r="G11" s="104">
        <v>-479.94152800000001</v>
      </c>
      <c r="H11" s="104">
        <v>201.85820000000001</v>
      </c>
      <c r="I11" s="105">
        <v>-0.84471099999999999</v>
      </c>
      <c r="J11" s="105">
        <v>8.4034200000000006</v>
      </c>
    </row>
    <row r="12" spans="1:16383" s="18" customFormat="1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83">
        <v>3.99420792998442</v>
      </c>
    </row>
    <row r="13" spans="1:16383" s="18" customFormat="1" x14ac:dyDescent="0.2">
      <c r="A13" s="23" t="s">
        <v>62</v>
      </c>
      <c r="B13" s="87">
        <v>212.86716461181601</v>
      </c>
      <c r="C13" s="87">
        <v>205.30296629863699</v>
      </c>
      <c r="D13" s="97">
        <v>9.1741158706469701</v>
      </c>
      <c r="E13" s="87">
        <v>9.8227161266990102</v>
      </c>
      <c r="F13" s="28">
        <v>0.82965696289126001</v>
      </c>
      <c r="G13" s="87">
        <v>-479.94153846153802</v>
      </c>
      <c r="H13" s="98">
        <v>201.85820529219737</v>
      </c>
      <c r="I13" s="84">
        <f>2.15528885601476-3</f>
        <v>-0.84471114398523994</v>
      </c>
      <c r="J13" s="68" t="s">
        <v>52</v>
      </c>
    </row>
    <row r="14" spans="1:16383" s="18" customFormat="1" x14ac:dyDescent="0.2">
      <c r="A14" s="23" t="s">
        <v>63</v>
      </c>
      <c r="B14" s="86">
        <v>212.86716000000001</v>
      </c>
      <c r="C14" s="86">
        <v>205.30296000000001</v>
      </c>
      <c r="D14" s="86">
        <v>9.2275057</v>
      </c>
      <c r="E14" s="86">
        <v>9.8227157999999992</v>
      </c>
      <c r="F14" s="29">
        <v>0.82965696</v>
      </c>
      <c r="G14" s="86">
        <v>-479.94153</v>
      </c>
      <c r="H14" s="86">
        <v>202.01365999999999</v>
      </c>
      <c r="I14" s="83">
        <v>-0.84471112000000004</v>
      </c>
      <c r="J14" s="83">
        <v>10.971553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s="18" customFormat="1" x14ac:dyDescent="0.2">
      <c r="A15" s="23" t="s">
        <v>64</v>
      </c>
      <c r="B15" s="86">
        <v>212.8671646</v>
      </c>
      <c r="C15" s="86">
        <v>186.50349170000001</v>
      </c>
      <c r="D15" s="86">
        <v>7.8570710070000001</v>
      </c>
      <c r="E15" s="63" t="s">
        <v>52</v>
      </c>
      <c r="F15" s="29">
        <v>0.92442058490000001</v>
      </c>
      <c r="G15" s="86">
        <v>-479.94153849999998</v>
      </c>
      <c r="H15" s="86">
        <v>202.0136602</v>
      </c>
      <c r="I15" s="83">
        <f>2.148662299-3</f>
        <v>-0.85133770099999984</v>
      </c>
      <c r="J15" s="83">
        <v>7.9805486500000002</v>
      </c>
    </row>
    <row r="16" spans="1:16383" s="18" customFormat="1" x14ac:dyDescent="0.2">
      <c r="A16" s="37"/>
      <c r="B16" s="87"/>
      <c r="C16" s="87"/>
      <c r="D16" s="97"/>
      <c r="E16" s="87"/>
      <c r="F16" s="8"/>
      <c r="G16" s="87"/>
      <c r="H16" s="98"/>
      <c r="I16" s="84"/>
      <c r="J16" s="84"/>
    </row>
    <row r="17" spans="1:10" s="18" customFormat="1" x14ac:dyDescent="0.2">
      <c r="A17" s="36" t="s">
        <v>15</v>
      </c>
      <c r="B17" s="86">
        <f t="shared" ref="B17:J17" si="0">AVERAGE(B3:B15)</f>
        <v>212.86714275196934</v>
      </c>
      <c r="C17" s="86">
        <f t="shared" si="0"/>
        <v>206.76592732702485</v>
      </c>
      <c r="D17" s="86">
        <f t="shared" si="0"/>
        <v>8.6988224276630852</v>
      </c>
      <c r="E17" s="86">
        <f t="shared" si="0"/>
        <v>9.5194325688543628</v>
      </c>
      <c r="F17" s="29">
        <f t="shared" si="0"/>
        <v>0.84005103942568371</v>
      </c>
      <c r="G17" s="86">
        <f t="shared" si="0"/>
        <v>-479.94156886858968</v>
      </c>
      <c r="H17" s="86">
        <f t="shared" si="0"/>
        <v>201.92296343893432</v>
      </c>
      <c r="I17" s="83">
        <f t="shared" si="0"/>
        <v>-0.84491320558087335</v>
      </c>
      <c r="J17" s="83">
        <f t="shared" si="0"/>
        <v>7.6989675362207555</v>
      </c>
    </row>
    <row r="18" spans="1:10" s="18" customFormat="1" x14ac:dyDescent="0.2">
      <c r="A18" s="36" t="s">
        <v>16</v>
      </c>
      <c r="B18" s="83">
        <f t="shared" ref="B18:J18" si="1">STDEV(B3:B15)</f>
        <v>6.8081557345519536E-5</v>
      </c>
      <c r="C18" s="83">
        <f t="shared" si="1"/>
        <v>33.419274584637165</v>
      </c>
      <c r="D18" s="83">
        <f t="shared" si="1"/>
        <v>0.59740427152679243</v>
      </c>
      <c r="E18" s="83">
        <f t="shared" si="1"/>
        <v>0.30091368411935354</v>
      </c>
      <c r="F18" s="29">
        <f t="shared" si="1"/>
        <v>0.11795071525204745</v>
      </c>
      <c r="G18" s="83">
        <f t="shared" si="1"/>
        <v>1.365359553389371E-4</v>
      </c>
      <c r="H18" s="83">
        <f t="shared" si="1"/>
        <v>8.00681667568231E-2</v>
      </c>
      <c r="I18" s="29">
        <f t="shared" si="1"/>
        <v>2.1963262175021064E-3</v>
      </c>
      <c r="J18" s="29">
        <f t="shared" si="1"/>
        <v>2.6119643451727264</v>
      </c>
    </row>
    <row r="19" spans="1:10" s="18" customFormat="1" x14ac:dyDescent="0.2">
      <c r="A19" s="36" t="s">
        <v>24</v>
      </c>
      <c r="B19" s="16">
        <f>B18/B17</f>
        <v>3.198312170932246E-7</v>
      </c>
      <c r="C19" s="16">
        <f t="shared" ref="C19:J19" si="2">C18/C17</f>
        <v>0.16162853820581674</v>
      </c>
      <c r="D19" s="16">
        <f t="shared" si="2"/>
        <v>6.8676453220494524E-2</v>
      </c>
      <c r="E19" s="16">
        <f t="shared" si="2"/>
        <v>3.161046437829515E-2</v>
      </c>
      <c r="F19" s="16">
        <f t="shared" si="2"/>
        <v>0.14040898673571861</v>
      </c>
      <c r="G19" s="16">
        <f t="shared" si="2"/>
        <v>-2.8448453769238168E-7</v>
      </c>
      <c r="H19" s="16">
        <f t="shared" si="2"/>
        <v>3.9652828679407416E-4</v>
      </c>
      <c r="I19" s="16">
        <f t="shared" si="2"/>
        <v>-2.5994696295368511E-3</v>
      </c>
      <c r="J19" s="16">
        <f t="shared" si="2"/>
        <v>0.33926163902944306</v>
      </c>
    </row>
    <row r="20" spans="1:10" s="18" customFormat="1" x14ac:dyDescent="0.2">
      <c r="B20" s="19"/>
      <c r="C20" s="20"/>
      <c r="D20" s="20"/>
      <c r="E20" s="20"/>
      <c r="F20" s="20"/>
      <c r="G20" s="20"/>
      <c r="H20" s="20"/>
      <c r="I20" s="20"/>
      <c r="J20" s="20"/>
    </row>
    <row r="21" spans="1:10" ht="27.25" customHeight="1" x14ac:dyDescent="0.2">
      <c r="B21" s="4"/>
      <c r="C21" s="4"/>
      <c r="D21" s="4"/>
      <c r="E21" s="4"/>
      <c r="F21" s="4"/>
      <c r="G21" s="4"/>
      <c r="J21" s="4"/>
    </row>
    <row r="22" spans="1:10" x14ac:dyDescent="0.2">
      <c r="C22" s="1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FC22"/>
  <sheetViews>
    <sheetView zoomScale="90" zoomScaleNormal="90" workbookViewId="0">
      <selection activeCell="D21" sqref="D21"/>
    </sheetView>
  </sheetViews>
  <sheetFormatPr baseColWidth="10" defaultColWidth="8.83203125" defaultRowHeight="15" x14ac:dyDescent="0.2"/>
  <cols>
    <col min="1" max="1" width="34.5" customWidth="1"/>
    <col min="2" max="2" width="14" customWidth="1"/>
    <col min="3" max="3" width="14.5" customWidth="1"/>
    <col min="4" max="4" width="18.33203125" customWidth="1"/>
    <col min="5" max="5" width="18.6640625" customWidth="1"/>
    <col min="6" max="6" width="14" customWidth="1"/>
    <col min="7" max="7" width="13.6640625" customWidth="1"/>
    <col min="8" max="8" width="14.1640625" customWidth="1"/>
    <col min="9" max="9" width="16.1640625" customWidth="1"/>
    <col min="10" max="10" width="14.1640625" customWidth="1"/>
  </cols>
  <sheetData>
    <row r="1" spans="1:16383" ht="16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6383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6383" s="18" customFormat="1" x14ac:dyDescent="0.2">
      <c r="A3" s="23" t="s">
        <v>10</v>
      </c>
      <c r="B3" s="86">
        <v>4547.3531000000003</v>
      </c>
      <c r="C3" s="86">
        <v>1838.0404000000001</v>
      </c>
      <c r="D3" s="86">
        <v>30.907499999999999</v>
      </c>
      <c r="E3" s="86">
        <v>31.014600000000002</v>
      </c>
      <c r="F3" s="29">
        <v>0.72216000000000002</v>
      </c>
      <c r="G3" s="86">
        <v>-90.997399999999999</v>
      </c>
      <c r="H3" s="86">
        <v>166.56809999999999</v>
      </c>
      <c r="I3" s="83">
        <v>0.69969999999999999</v>
      </c>
      <c r="J3" s="83">
        <v>2.8250999999999999</v>
      </c>
    </row>
    <row r="4" spans="1:16383" s="18" customFormat="1" x14ac:dyDescent="0.2">
      <c r="A4" s="23" t="s">
        <v>11</v>
      </c>
      <c r="B4" s="87">
        <v>4547.4895020000004</v>
      </c>
      <c r="C4" s="87">
        <v>1842.818458</v>
      </c>
      <c r="D4" s="87">
        <v>31.5716827</v>
      </c>
      <c r="E4" s="87">
        <v>31.676510560000001</v>
      </c>
      <c r="F4" s="28">
        <v>0.71890001699999995</v>
      </c>
      <c r="G4" s="87">
        <v>-90.997448980000001</v>
      </c>
      <c r="H4" s="87">
        <v>166.55993257683554</v>
      </c>
      <c r="I4" s="84">
        <v>0.69969264399999997</v>
      </c>
      <c r="J4" s="84">
        <v>8.303279904</v>
      </c>
    </row>
    <row r="5" spans="1:16383" s="18" customFormat="1" x14ac:dyDescent="0.2">
      <c r="A5" s="23" t="s">
        <v>54</v>
      </c>
      <c r="B5" s="87">
        <v>4547.4893000000002</v>
      </c>
      <c r="C5" s="87">
        <v>2401.8955999999998</v>
      </c>
      <c r="D5" s="87">
        <v>30.907499999999999</v>
      </c>
      <c r="E5" s="87">
        <v>31.320900000000002</v>
      </c>
      <c r="F5" s="28">
        <v>0.55264000000000002</v>
      </c>
      <c r="G5" s="87">
        <v>-90.997399999999999</v>
      </c>
      <c r="H5" s="87">
        <v>166.5599</v>
      </c>
      <c r="I5" s="84">
        <v>0.69969000000000003</v>
      </c>
      <c r="J5" s="84">
        <v>11.176500000000001</v>
      </c>
    </row>
    <row r="6" spans="1:16383" s="18" customFormat="1" x14ac:dyDescent="0.2">
      <c r="A6" s="23" t="s">
        <v>55</v>
      </c>
      <c r="B6" s="86">
        <v>4547.4895019531205</v>
      </c>
      <c r="C6" s="86">
        <v>1842.81845755111</v>
      </c>
      <c r="D6" s="86">
        <v>31.571682702726498</v>
      </c>
      <c r="E6" s="86">
        <v>31.6765105624204</v>
      </c>
      <c r="F6" s="29">
        <v>0.71890001690528804</v>
      </c>
      <c r="G6" s="86">
        <v>-90.997448979591795</v>
      </c>
      <c r="H6" s="86">
        <v>166.55993257530184</v>
      </c>
      <c r="I6" s="83">
        <v>0.69969264424070998</v>
      </c>
      <c r="J6" s="83">
        <v>8.3032799035703206</v>
      </c>
    </row>
    <row r="7" spans="1:16383" s="18" customFormat="1" x14ac:dyDescent="0.2">
      <c r="A7" s="23" t="s">
        <v>56</v>
      </c>
      <c r="B7" s="87">
        <v>4547.4889999999996</v>
      </c>
      <c r="C7" s="87">
        <v>1675.5388</v>
      </c>
      <c r="D7" s="63" t="s">
        <v>52</v>
      </c>
      <c r="E7" s="87">
        <v>31.7117</v>
      </c>
      <c r="F7" s="28">
        <v>0.79221699999999995</v>
      </c>
      <c r="G7" s="87">
        <v>-90.997449000000003</v>
      </c>
      <c r="H7" s="87">
        <v>166.559933</v>
      </c>
      <c r="I7" s="83">
        <v>0.70005499999999998</v>
      </c>
      <c r="J7" s="83">
        <v>8.9560940000000002</v>
      </c>
    </row>
    <row r="8" spans="1:16383" s="18" customFormat="1" x14ac:dyDescent="0.2">
      <c r="A8" s="23" t="s">
        <v>57</v>
      </c>
      <c r="B8" s="87">
        <v>4547.4895020000004</v>
      </c>
      <c r="C8" s="63" t="s">
        <v>52</v>
      </c>
      <c r="D8" s="87">
        <v>30.90755433</v>
      </c>
      <c r="E8" s="87">
        <v>31.014626870000001</v>
      </c>
      <c r="F8" s="63" t="s">
        <v>52</v>
      </c>
      <c r="G8" s="87">
        <v>-90.997448980000001</v>
      </c>
      <c r="H8" s="87">
        <v>166.56810429999999</v>
      </c>
      <c r="I8" s="84">
        <v>0.70062494900000005</v>
      </c>
      <c r="J8" s="84">
        <v>3.8846468829999998</v>
      </c>
    </row>
    <row r="9" spans="1:16383" s="18" customFormat="1" x14ac:dyDescent="0.2">
      <c r="A9" s="23" t="s">
        <v>58</v>
      </c>
      <c r="B9" s="87">
        <v>4547.49</v>
      </c>
      <c r="C9" s="87">
        <v>1845.34</v>
      </c>
      <c r="D9" s="87">
        <v>31.014600000000002</v>
      </c>
      <c r="E9" s="87">
        <v>31.014600000000002</v>
      </c>
      <c r="F9" s="28">
        <v>0.71775999999999995</v>
      </c>
      <c r="G9" s="87">
        <v>-90.997399999999999</v>
      </c>
      <c r="H9" s="87">
        <v>166.56</v>
      </c>
      <c r="I9" s="84">
        <v>0.69969000000000003</v>
      </c>
      <c r="J9" s="84">
        <v>8.2996999999999996</v>
      </c>
    </row>
    <row r="10" spans="1:16383" s="18" customFormat="1" x14ac:dyDescent="0.2">
      <c r="A10" s="23" t="s">
        <v>59</v>
      </c>
      <c r="B10" s="39">
        <v>4547.4895020000004</v>
      </c>
      <c r="C10" s="39">
        <v>1058.616</v>
      </c>
      <c r="D10" s="39">
        <v>30.907543</v>
      </c>
      <c r="E10" s="39">
        <v>31.014614999999999</v>
      </c>
      <c r="F10" s="40">
        <v>1.2129559999999999</v>
      </c>
      <c r="G10" s="39">
        <v>-90.997449000000003</v>
      </c>
      <c r="H10" s="39">
        <v>166.56810400000001</v>
      </c>
      <c r="I10" s="32">
        <v>0.69969300000000001</v>
      </c>
      <c r="J10" s="32">
        <v>5.8340240000000003</v>
      </c>
    </row>
    <row r="11" spans="1:16383" s="18" customFormat="1" x14ac:dyDescent="0.2">
      <c r="A11" s="23" t="s">
        <v>61</v>
      </c>
      <c r="B11" s="104">
        <v>4547.4895020000004</v>
      </c>
      <c r="C11" s="104">
        <v>1480.8867190000001</v>
      </c>
      <c r="D11" s="104">
        <v>30.907543</v>
      </c>
      <c r="E11" s="104">
        <v>31.014616</v>
      </c>
      <c r="F11" s="30">
        <v>0.89634800000000003</v>
      </c>
      <c r="G11" s="104">
        <v>-90.997451999999996</v>
      </c>
      <c r="H11" s="104">
        <v>166.55993699999999</v>
      </c>
      <c r="I11" s="105">
        <v>0.69969300000000001</v>
      </c>
      <c r="J11" s="105">
        <v>9.0066609999999994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83">
        <v>3.55509819038457</v>
      </c>
    </row>
    <row r="13" spans="1:16383" x14ac:dyDescent="0.2">
      <c r="A13" s="23" t="s">
        <v>62</v>
      </c>
      <c r="B13" s="87">
        <v>4547.4895019531205</v>
      </c>
      <c r="C13" s="87">
        <v>1842.81845755111</v>
      </c>
      <c r="D13" s="97">
        <v>31.571682702726498</v>
      </c>
      <c r="E13" s="87">
        <v>31.6765105624204</v>
      </c>
      <c r="F13" s="28">
        <v>0.71890001690528804</v>
      </c>
      <c r="G13" s="87">
        <v>-90.997448979591795</v>
      </c>
      <c r="H13" s="98">
        <v>166.55993257530184</v>
      </c>
      <c r="I13" s="84">
        <v>0.69969264424070998</v>
      </c>
      <c r="J13" s="68" t="s">
        <v>52</v>
      </c>
    </row>
    <row r="14" spans="1:16383" x14ac:dyDescent="0.2">
      <c r="A14" s="23" t="s">
        <v>63</v>
      </c>
      <c r="B14" s="86">
        <v>4547.4893000000002</v>
      </c>
      <c r="C14" s="86">
        <v>1845.3427999999999</v>
      </c>
      <c r="D14" s="86">
        <v>31.571681999999999</v>
      </c>
      <c r="E14" s="86">
        <v>31.67651</v>
      </c>
      <c r="F14" s="29">
        <v>0.71775960999999999</v>
      </c>
      <c r="G14" s="86">
        <v>-90.997451999999996</v>
      </c>
      <c r="H14" s="86">
        <v>166.56809999999999</v>
      </c>
      <c r="I14" s="83">
        <v>0.69969267000000002</v>
      </c>
      <c r="J14" s="83">
        <v>9.4105301000000008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23" t="s">
        <v>64</v>
      </c>
      <c r="B15" s="39">
        <v>4547.4895020000004</v>
      </c>
      <c r="C15" s="39">
        <v>1685.677496</v>
      </c>
      <c r="D15" s="39">
        <v>30.85867442</v>
      </c>
      <c r="E15" s="63" t="s">
        <v>52</v>
      </c>
      <c r="F15" s="40">
        <v>0.78745202759999999</v>
      </c>
      <c r="G15" s="39">
        <v>-90.997448980000001</v>
      </c>
      <c r="H15" s="39">
        <v>166.56810429999999</v>
      </c>
      <c r="I15" s="32">
        <v>0.69896668100000003</v>
      </c>
      <c r="J15" s="32">
        <v>6.125116105</v>
      </c>
    </row>
    <row r="16" spans="1:16383" x14ac:dyDescent="0.2">
      <c r="A16" s="37"/>
      <c r="B16" s="88"/>
      <c r="C16" s="88"/>
      <c r="D16" s="90"/>
      <c r="E16" s="88"/>
      <c r="F16" s="37"/>
      <c r="G16" s="88"/>
      <c r="H16" s="80"/>
      <c r="I16" s="85"/>
      <c r="J16" s="32"/>
    </row>
    <row r="17" spans="1:10" x14ac:dyDescent="0.2">
      <c r="A17" s="23" t="s">
        <v>15</v>
      </c>
      <c r="B17" s="39">
        <f t="shared" ref="B17:J17" si="0">AVERAGE(B3:B15)</f>
        <v>4547.4781011588539</v>
      </c>
      <c r="C17" s="39">
        <f t="shared" si="0"/>
        <v>1759.9811989183836</v>
      </c>
      <c r="D17" s="39">
        <f t="shared" si="0"/>
        <v>31.154331350495728</v>
      </c>
      <c r="E17" s="39">
        <f t="shared" si="0"/>
        <v>31.346518141349165</v>
      </c>
      <c r="F17" s="40">
        <f t="shared" si="0"/>
        <v>0.77781751712823421</v>
      </c>
      <c r="G17" s="39">
        <f t="shared" si="0"/>
        <v>-90.997437241598618</v>
      </c>
      <c r="H17" s="39">
        <f t="shared" si="0"/>
        <v>166.56334002728659</v>
      </c>
      <c r="I17" s="32">
        <f t="shared" si="0"/>
        <v>0.6997402693734518</v>
      </c>
      <c r="J17" s="32">
        <f t="shared" si="0"/>
        <v>7.1400025071629081</v>
      </c>
    </row>
    <row r="18" spans="1:10" x14ac:dyDescent="0.2">
      <c r="A18" s="23" t="s">
        <v>16</v>
      </c>
      <c r="B18" s="32">
        <f t="shared" ref="B18:J18" si="1">STDEV(B3:B15)</f>
        <v>3.9365810123846781E-2</v>
      </c>
      <c r="C18" s="32">
        <f t="shared" si="1"/>
        <v>321.83295812512932</v>
      </c>
      <c r="D18" s="32">
        <f t="shared" si="1"/>
        <v>0.33290016457709043</v>
      </c>
      <c r="E18" s="32">
        <f t="shared" si="1"/>
        <v>0.33472429638530471</v>
      </c>
      <c r="F18" s="40">
        <f t="shared" si="1"/>
        <v>0.16586907187185601</v>
      </c>
      <c r="G18" s="32">
        <f t="shared" si="1"/>
        <v>2.2486120973064134E-5</v>
      </c>
      <c r="H18" s="32">
        <f t="shared" si="1"/>
        <v>4.2040768280716661E-3</v>
      </c>
      <c r="I18" s="40">
        <f t="shared" si="1"/>
        <v>3.6931964390671528E-4</v>
      </c>
      <c r="J18" s="40">
        <f t="shared" si="1"/>
        <v>2.6472176438606843</v>
      </c>
    </row>
    <row r="19" spans="1:10" x14ac:dyDescent="0.2">
      <c r="A19" s="23" t="s">
        <v>24</v>
      </c>
      <c r="B19" s="3">
        <f>B18/B17</f>
        <v>8.6566244516526687E-6</v>
      </c>
      <c r="C19" s="3">
        <f t="shared" ref="C19:J19" si="2">C18/C17</f>
        <v>0.18286158870499039</v>
      </c>
      <c r="D19" s="3">
        <f t="shared" si="2"/>
        <v>1.068551787653094E-2</v>
      </c>
      <c r="E19" s="3">
        <f t="shared" si="2"/>
        <v>1.0678197013012753E-2</v>
      </c>
      <c r="F19" s="3">
        <f t="shared" si="2"/>
        <v>0.21324933961921835</v>
      </c>
      <c r="G19" s="3">
        <f t="shared" si="2"/>
        <v>-2.4710718955044173E-7</v>
      </c>
      <c r="H19" s="3">
        <f t="shared" si="2"/>
        <v>2.5240108822163085E-5</v>
      </c>
      <c r="I19" s="3">
        <f t="shared" si="2"/>
        <v>5.277953264536347E-4</v>
      </c>
      <c r="J19" s="3">
        <f t="shared" si="2"/>
        <v>0.37075864346055537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B21" s="4"/>
      <c r="C21" s="4"/>
      <c r="D21" s="4"/>
      <c r="E21" s="4"/>
      <c r="F21" s="4"/>
      <c r="G21" s="4"/>
      <c r="J21" s="4"/>
    </row>
    <row r="22" spans="1:10" x14ac:dyDescent="0.2">
      <c r="C22" s="1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XFC22"/>
  <sheetViews>
    <sheetView zoomScale="90" zoomScaleNormal="90" workbookViewId="0">
      <selection activeCell="D20" sqref="D20"/>
    </sheetView>
  </sheetViews>
  <sheetFormatPr baseColWidth="10" defaultColWidth="8.83203125" defaultRowHeight="15" x14ac:dyDescent="0.2"/>
  <cols>
    <col min="1" max="1" width="33.1640625" customWidth="1"/>
    <col min="2" max="2" width="12.5" customWidth="1"/>
    <col min="3" max="3" width="14.5" customWidth="1"/>
    <col min="4" max="4" width="19.1640625" customWidth="1"/>
    <col min="5" max="5" width="19.33203125" customWidth="1"/>
    <col min="6" max="6" width="14.1640625" customWidth="1"/>
    <col min="7" max="7" width="17.1640625" customWidth="1"/>
    <col min="8" max="8" width="15.1640625" customWidth="1"/>
    <col min="9" max="9" width="16.5" customWidth="1"/>
    <col min="10" max="10" width="14.83203125" customWidth="1"/>
  </cols>
  <sheetData>
    <row r="1" spans="1:16383" ht="16" x14ac:dyDescent="0.2">
      <c r="A1" s="23" t="s">
        <v>0</v>
      </c>
      <c r="B1" s="46" t="s">
        <v>1</v>
      </c>
      <c r="C1" s="46" t="s">
        <v>2</v>
      </c>
      <c r="D1" s="71" t="s">
        <v>3</v>
      </c>
      <c r="E1" s="71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6383" ht="17" x14ac:dyDescent="0.2">
      <c r="A2" s="23"/>
      <c r="B2" s="46" t="s">
        <v>50</v>
      </c>
      <c r="C2" s="46" t="s">
        <v>51</v>
      </c>
      <c r="D2" s="46" t="s">
        <v>12</v>
      </c>
      <c r="E2" s="46" t="s">
        <v>12</v>
      </c>
      <c r="F2" s="11" t="s">
        <v>13</v>
      </c>
      <c r="G2" s="11" t="s">
        <v>14</v>
      </c>
      <c r="H2" s="11" t="s">
        <v>14</v>
      </c>
      <c r="I2" s="11" t="s">
        <v>13</v>
      </c>
      <c r="J2" s="11" t="s">
        <v>13</v>
      </c>
    </row>
    <row r="3" spans="1:16383" s="18" customFormat="1" x14ac:dyDescent="0.2">
      <c r="A3" s="23" t="s">
        <v>10</v>
      </c>
      <c r="B3" s="76">
        <v>876.27049999999997</v>
      </c>
      <c r="C3" s="76">
        <v>610.18409999999994</v>
      </c>
      <c r="D3" s="76">
        <v>13.835000000000001</v>
      </c>
      <c r="E3" s="76">
        <v>20.2957</v>
      </c>
      <c r="F3" s="26">
        <v>0.72574000000000005</v>
      </c>
      <c r="G3" s="76">
        <v>-23.249099999999999</v>
      </c>
      <c r="H3" s="76">
        <v>129.88740000000001</v>
      </c>
      <c r="I3" s="73">
        <v>2.1017999999999999</v>
      </c>
      <c r="J3" s="73">
        <v>2.1838000000000002</v>
      </c>
    </row>
    <row r="4" spans="1:16383" s="18" customFormat="1" x14ac:dyDescent="0.2">
      <c r="A4" s="23" t="s">
        <v>11</v>
      </c>
      <c r="B4" s="76">
        <v>876.28173830000003</v>
      </c>
      <c r="C4" s="76">
        <v>610.95732610000005</v>
      </c>
      <c r="D4" s="76">
        <v>14.354817690000001</v>
      </c>
      <c r="E4" s="76">
        <v>21.380715840000001</v>
      </c>
      <c r="F4" s="26">
        <v>0.72107938100000002</v>
      </c>
      <c r="G4" s="76">
        <v>-23.249146759999999</v>
      </c>
      <c r="H4" s="76">
        <v>129.85973086372849</v>
      </c>
      <c r="I4" s="73">
        <v>2.1017793249999999</v>
      </c>
      <c r="J4" s="73">
        <v>6.1724253100000004</v>
      </c>
    </row>
    <row r="5" spans="1:16383" s="18" customFormat="1" x14ac:dyDescent="0.2">
      <c r="A5" s="23" t="s">
        <v>54</v>
      </c>
      <c r="B5" s="76">
        <v>876.2817</v>
      </c>
      <c r="C5" s="76">
        <v>811.1694</v>
      </c>
      <c r="D5" s="76">
        <v>13.835000000000001</v>
      </c>
      <c r="E5" s="76">
        <v>20.5183</v>
      </c>
      <c r="F5" s="26">
        <v>0.54593000000000003</v>
      </c>
      <c r="G5" s="76">
        <v>-23.249099999999999</v>
      </c>
      <c r="H5" s="76">
        <v>129.8597</v>
      </c>
      <c r="I5" s="73">
        <v>2.1017999999999999</v>
      </c>
      <c r="J5" s="73">
        <v>9.2261000000000006</v>
      </c>
    </row>
    <row r="6" spans="1:16383" s="18" customFormat="1" x14ac:dyDescent="0.2">
      <c r="A6" s="23" t="s">
        <v>55</v>
      </c>
      <c r="B6" s="77">
        <v>876.28173828125</v>
      </c>
      <c r="C6" s="77">
        <v>610.95732609623303</v>
      </c>
      <c r="D6" s="77">
        <v>14.3548176935698</v>
      </c>
      <c r="E6" s="77">
        <v>21.380715838475201</v>
      </c>
      <c r="F6" s="25">
        <v>0.72107938070170796</v>
      </c>
      <c r="G6" s="77">
        <v>-23.2491467576791</v>
      </c>
      <c r="H6" s="77">
        <v>129.85973086618154</v>
      </c>
      <c r="I6" s="74">
        <v>2.1017793246365901</v>
      </c>
      <c r="J6" s="74">
        <v>6.1724253098327502</v>
      </c>
    </row>
    <row r="7" spans="1:16383" s="18" customFormat="1" x14ac:dyDescent="0.2">
      <c r="A7" s="23" t="s">
        <v>56</v>
      </c>
      <c r="B7" s="76">
        <v>876.28200000000004</v>
      </c>
      <c r="C7" s="76">
        <v>646.47149999999999</v>
      </c>
      <c r="D7" s="63" t="s">
        <v>52</v>
      </c>
      <c r="E7" s="76">
        <v>20.762</v>
      </c>
      <c r="F7" s="26">
        <v>0.68501000000000001</v>
      </c>
      <c r="G7" s="76">
        <v>-23.249144000000001</v>
      </c>
      <c r="H7" s="76">
        <v>129.85979699999999</v>
      </c>
      <c r="I7" s="74">
        <v>2.1015609999999998</v>
      </c>
      <c r="J7" s="74">
        <v>6.1465290000000001</v>
      </c>
    </row>
    <row r="8" spans="1:16383" s="18" customFormat="1" x14ac:dyDescent="0.2">
      <c r="A8" s="23" t="s">
        <v>57</v>
      </c>
      <c r="B8" s="76">
        <v>876.28173830000003</v>
      </c>
      <c r="C8" s="63" t="s">
        <v>52</v>
      </c>
      <c r="D8" s="76">
        <v>13.83496476</v>
      </c>
      <c r="E8" s="76">
        <v>20.295816469999998</v>
      </c>
      <c r="F8" s="63" t="s">
        <v>52</v>
      </c>
      <c r="G8" s="76">
        <v>-23.249146759999999</v>
      </c>
      <c r="H8" s="76">
        <v>129.88744019999999</v>
      </c>
      <c r="I8" s="73">
        <v>2.1088336390000002</v>
      </c>
      <c r="J8" s="73">
        <v>2.850472248</v>
      </c>
    </row>
    <row r="9" spans="1:16383" s="18" customFormat="1" x14ac:dyDescent="0.2">
      <c r="A9" s="23" t="s">
        <v>58</v>
      </c>
      <c r="B9" s="76">
        <v>876.28200000000004</v>
      </c>
      <c r="C9" s="76">
        <v>611.46299999999997</v>
      </c>
      <c r="D9" s="76">
        <v>20.2958</v>
      </c>
      <c r="E9" s="76">
        <v>20.2958</v>
      </c>
      <c r="F9" s="26">
        <v>0.72</v>
      </c>
      <c r="G9" s="76">
        <v>-23.249099999999999</v>
      </c>
      <c r="H9" s="76">
        <v>129.86000000000001</v>
      </c>
      <c r="I9" s="73">
        <v>2.1017999999999999</v>
      </c>
      <c r="J9" s="73">
        <v>6.1688999999999998</v>
      </c>
    </row>
    <row r="10" spans="1:16383" s="18" customFormat="1" x14ac:dyDescent="0.2">
      <c r="A10" s="23" t="s">
        <v>59</v>
      </c>
      <c r="B10" s="69">
        <v>876.28173800000002</v>
      </c>
      <c r="C10" s="69">
        <v>490.16525000000001</v>
      </c>
      <c r="D10" s="69">
        <v>13.834965</v>
      </c>
      <c r="E10" s="69">
        <v>20.295815999999999</v>
      </c>
      <c r="F10" s="35">
        <v>0.911914</v>
      </c>
      <c r="G10" s="69">
        <v>-23.249147000000001</v>
      </c>
      <c r="H10" s="69">
        <v>129.88744</v>
      </c>
      <c r="I10" s="70">
        <v>2.1017790000000001</v>
      </c>
      <c r="J10" s="70">
        <v>4.7307670000000002</v>
      </c>
    </row>
    <row r="11" spans="1:16383" s="18" customFormat="1" x14ac:dyDescent="0.2">
      <c r="A11" s="23" t="s">
        <v>61</v>
      </c>
      <c r="B11" s="76">
        <v>876.28173800000002</v>
      </c>
      <c r="C11" s="76">
        <v>553.02734399999997</v>
      </c>
      <c r="D11" s="76">
        <v>13.834965</v>
      </c>
      <c r="E11" s="76">
        <v>20.295815999999999</v>
      </c>
      <c r="F11" s="26">
        <v>0.80075600000000002</v>
      </c>
      <c r="G11" s="76">
        <v>-23.249147000000001</v>
      </c>
      <c r="H11" s="76">
        <v>129.85972599999999</v>
      </c>
      <c r="I11" s="73">
        <v>2.1017790000000001</v>
      </c>
      <c r="J11" s="73">
        <v>6.7475949999999996</v>
      </c>
    </row>
    <row r="12" spans="1:16383" x14ac:dyDescent="0.2">
      <c r="A12" s="23" t="s">
        <v>60</v>
      </c>
      <c r="B12" s="63" t="s">
        <v>52</v>
      </c>
      <c r="C12" s="63" t="s">
        <v>52</v>
      </c>
      <c r="D12" s="63" t="s">
        <v>52</v>
      </c>
      <c r="E12" s="63" t="s">
        <v>52</v>
      </c>
      <c r="F12" s="63" t="s">
        <v>52</v>
      </c>
      <c r="G12" s="63" t="s">
        <v>52</v>
      </c>
      <c r="H12" s="63" t="s">
        <v>52</v>
      </c>
      <c r="I12" s="68" t="s">
        <v>52</v>
      </c>
      <c r="J12" s="74">
        <v>2.8735355730061198</v>
      </c>
    </row>
    <row r="13" spans="1:16383" x14ac:dyDescent="0.2">
      <c r="A13" s="23" t="s">
        <v>62</v>
      </c>
      <c r="B13" s="76">
        <v>876.28173828125</v>
      </c>
      <c r="C13" s="76">
        <v>610.95732609623303</v>
      </c>
      <c r="D13" s="89">
        <v>14.3548176935698</v>
      </c>
      <c r="E13" s="76">
        <v>21.380715838475201</v>
      </c>
      <c r="F13" s="26">
        <v>0.72107938070170796</v>
      </c>
      <c r="G13" s="76">
        <v>-23.2491467576791</v>
      </c>
      <c r="H13" s="80">
        <v>129.85973086618154</v>
      </c>
      <c r="I13" s="73">
        <v>2.1017793246365901</v>
      </c>
      <c r="J13" s="68" t="s">
        <v>52</v>
      </c>
    </row>
    <row r="14" spans="1:16383" x14ac:dyDescent="0.2">
      <c r="A14" s="23" t="s">
        <v>63</v>
      </c>
      <c r="B14" s="77">
        <v>876.28174000000001</v>
      </c>
      <c r="C14" s="77">
        <v>611.46331999999995</v>
      </c>
      <c r="D14" s="77">
        <v>13.845769000000001</v>
      </c>
      <c r="E14" s="77">
        <v>21.380716</v>
      </c>
      <c r="F14" s="25">
        <v>0.72000074000000003</v>
      </c>
      <c r="G14" s="77">
        <v>-23.249147000000001</v>
      </c>
      <c r="H14" s="77">
        <v>129.88744</v>
      </c>
      <c r="I14" s="74">
        <v>2.1017792000000002</v>
      </c>
      <c r="J14" s="74">
        <v>7.9891515000000002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x14ac:dyDescent="0.2">
      <c r="A15" s="23" t="s">
        <v>64</v>
      </c>
      <c r="B15" s="69">
        <v>876.28173830000003</v>
      </c>
      <c r="C15" s="69">
        <v>508.44080159999999</v>
      </c>
      <c r="D15" s="69">
        <v>16.682705250000001</v>
      </c>
      <c r="E15" s="63" t="s">
        <v>52</v>
      </c>
      <c r="F15" s="35">
        <v>0.87097609850000002</v>
      </c>
      <c r="G15" s="69">
        <v>-23.249146759999999</v>
      </c>
      <c r="H15" s="69">
        <v>129.88744019999999</v>
      </c>
      <c r="I15" s="70">
        <v>2.0974271990000002</v>
      </c>
      <c r="J15" s="32">
        <v>4.1629815859999999</v>
      </c>
    </row>
    <row r="16" spans="1:16383" x14ac:dyDescent="0.2">
      <c r="A16" s="37"/>
      <c r="B16" s="88"/>
      <c r="C16" s="88"/>
      <c r="D16" s="90"/>
      <c r="E16" s="88"/>
      <c r="F16" s="37"/>
      <c r="G16" s="37"/>
      <c r="H16" s="21"/>
      <c r="I16" s="85"/>
      <c r="J16" s="32"/>
    </row>
    <row r="17" spans="1:10" x14ac:dyDescent="0.2">
      <c r="A17" s="23" t="s">
        <v>15</v>
      </c>
      <c r="B17" s="39">
        <f t="shared" ref="B17:J17" si="0">AVERAGE(B3:B15)</f>
        <v>876.28084228854175</v>
      </c>
      <c r="C17" s="39">
        <f t="shared" si="0"/>
        <v>606.84151762658792</v>
      </c>
      <c r="D17" s="39">
        <f t="shared" si="0"/>
        <v>14.823965644285419</v>
      </c>
      <c r="E17" s="39">
        <f t="shared" si="0"/>
        <v>20.752919271540947</v>
      </c>
      <c r="F17" s="40">
        <f t="shared" si="0"/>
        <v>0.74032408917303794</v>
      </c>
      <c r="G17" s="39">
        <f t="shared" si="0"/>
        <v>-23.249134899613178</v>
      </c>
      <c r="H17" s="39">
        <f t="shared" si="0"/>
        <v>129.87129799967428</v>
      </c>
      <c r="I17" s="32">
        <f t="shared" si="0"/>
        <v>2.1019914176894314</v>
      </c>
      <c r="J17" s="32">
        <f t="shared" si="0"/>
        <v>5.4520568772365721</v>
      </c>
    </row>
    <row r="18" spans="1:10" x14ac:dyDescent="0.2">
      <c r="A18" s="23" t="s">
        <v>16</v>
      </c>
      <c r="B18" s="32">
        <f t="shared" ref="B18:J18" si="1">STDEV(B3:B15)</f>
        <v>3.2586080719196296E-3</v>
      </c>
      <c r="C18" s="32">
        <f t="shared" si="1"/>
        <v>83.43689129790512</v>
      </c>
      <c r="D18" s="32">
        <f t="shared" si="1"/>
        <v>1.9975866840895204</v>
      </c>
      <c r="E18" s="32">
        <f t="shared" si="1"/>
        <v>0.51734710285411811</v>
      </c>
      <c r="F18" s="40">
        <f t="shared" si="1"/>
        <v>9.652131911226644E-2</v>
      </c>
      <c r="G18" s="32">
        <f t="shared" si="1"/>
        <v>2.1061075483489417E-5</v>
      </c>
      <c r="H18" s="32">
        <f t="shared" si="1"/>
        <v>1.4242326092421955E-2</v>
      </c>
      <c r="I18" s="40">
        <f t="shared" si="1"/>
        <v>2.4902262661512247E-3</v>
      </c>
      <c r="J18" s="40">
        <f t="shared" si="1"/>
        <v>2.1463113919414369</v>
      </c>
    </row>
    <row r="19" spans="1:10" x14ac:dyDescent="0.2">
      <c r="A19" s="23" t="s">
        <v>24</v>
      </c>
      <c r="B19" s="3">
        <f>B18/B17</f>
        <v>3.7186800334573961E-6</v>
      </c>
      <c r="C19" s="3">
        <f t="shared" ref="C19:J19" si="2">C18/C17</f>
        <v>0.13749370943542946</v>
      </c>
      <c r="D19" s="3">
        <f t="shared" si="2"/>
        <v>0.13475386627461475</v>
      </c>
      <c r="E19" s="3">
        <f t="shared" si="2"/>
        <v>2.4928883309615651E-2</v>
      </c>
      <c r="F19" s="3">
        <f t="shared" si="2"/>
        <v>0.13037711527134471</v>
      </c>
      <c r="G19" s="3">
        <f t="shared" si="2"/>
        <v>-9.0588641574959561E-7</v>
      </c>
      <c r="H19" s="3">
        <f t="shared" si="2"/>
        <v>1.0966492451979401E-4</v>
      </c>
      <c r="I19" s="3">
        <f t="shared" si="2"/>
        <v>1.1846985887737601E-3</v>
      </c>
      <c r="J19" s="3">
        <f t="shared" si="2"/>
        <v>0.39367002954476066</v>
      </c>
    </row>
    <row r="20" spans="1:10" x14ac:dyDescent="0.2">
      <c r="B20" s="4"/>
      <c r="C20" s="2"/>
      <c r="D20" s="2"/>
      <c r="E20" s="2"/>
      <c r="F20" s="2"/>
      <c r="G20" s="2"/>
      <c r="H20" s="2"/>
      <c r="I20" s="2"/>
      <c r="J20" s="2"/>
    </row>
    <row r="21" spans="1:10" x14ac:dyDescent="0.2">
      <c r="C21" s="1"/>
    </row>
    <row r="22" spans="1:10" x14ac:dyDescent="0.2">
      <c r="C22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 Summary</vt:lpstr>
      <vt:lpstr>Summary by Case</vt:lpstr>
      <vt:lpstr>LIDC-0001 LIDC-RIDER 0314</vt:lpstr>
      <vt:lpstr>LIDC-0002 LIDC-RIDER 0325</vt:lpstr>
      <vt:lpstr>LIDC-0003 LIDC-RIDER 0580</vt:lpstr>
      <vt:lpstr>LIDC-0004 LIDC-RIDER 0766</vt:lpstr>
      <vt:lpstr>LIDC-0005 LIDC-RIDER 0771</vt:lpstr>
      <vt:lpstr>LIDC-0006 LIDC-RIDER 0811</vt:lpstr>
      <vt:lpstr>LIDC-0007 LIDC-RIDER 0905</vt:lpstr>
      <vt:lpstr>LIDC-0008 LIDC-RIDER 0963</vt:lpstr>
      <vt:lpstr>LIDC-0009 LIDC-RIDER 0965</vt:lpstr>
      <vt:lpstr>LIDC-0010 LIDC-RIDER 1012</vt:lpstr>
    </vt:vector>
  </TitlesOfParts>
  <Company>UCLA DGSOM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Microsoft Office User</cp:lastModifiedBy>
  <dcterms:created xsi:type="dcterms:W3CDTF">2019-02-14T05:23:51Z</dcterms:created>
  <dcterms:modified xsi:type="dcterms:W3CDTF">2020-03-25T20:16:57Z</dcterms:modified>
</cp:coreProperties>
</file>